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activeTab="1"/>
  </bookViews>
  <sheets>
    <sheet name="Top Sheet" sheetId="9" r:id="rId1"/>
    <sheet name="Summary New Year" sheetId="20" r:id="rId2"/>
    <sheet name="Annual Report" sheetId="35" r:id="rId3"/>
    <sheet name="New Year-Full Year" sheetId="1" r:id="rId4"/>
    <sheet name="Analysis of Rates" sheetId="36" state="hidden" r:id="rId5"/>
    <sheet name="Band and Other Music" sheetId="22" r:id="rId6"/>
    <sheet name="New Pastor Estimate" sheetId="39" r:id="rId7"/>
    <sheet name="Comparison" sheetId="32" state="hidden" r:id="rId8"/>
    <sheet name="Assoc. Pastor" sheetId="29" r:id="rId9"/>
    <sheet name="PK to Cheryl" sheetId="41" r:id="rId10"/>
    <sheet name="2023 Est-P Kelly" sheetId="37" state="hidden" r:id="rId11"/>
    <sheet name="Glen and Cheryl" sheetId="38" state="hidden" r:id="rId12"/>
    <sheet name="Rates for Cheryl" sheetId="24" r:id="rId13"/>
    <sheet name="Pie Chart" sheetId="27" state="hidden" r:id="rId14"/>
    <sheet name="Expenses" sheetId="28" state="hidden" r:id="rId15"/>
    <sheet name="Benevolence" sheetId="31" state="hidden" r:id="rId16"/>
    <sheet name="Dec Council Meeting" sheetId="34" state="hidden" r:id="rId17"/>
    <sheet name="Options" sheetId="33" state="hidden" r:id="rId18"/>
    <sheet name="Pastor Karen" sheetId="21" r:id="rId19"/>
    <sheet name="Cheryl Salary Range" sheetId="42" r:id="rId20"/>
  </sheets>
  <externalReferences>
    <externalReference r:id="rId21"/>
  </externalReferences>
  <definedNames>
    <definedName name="Bud_Yr">'Top Sheet'!$C$2</definedName>
    <definedName name="dddd" localSheetId="4">#REF!</definedName>
    <definedName name="dddd" localSheetId="8">#REF!</definedName>
    <definedName name="dddd" localSheetId="6">#REF!</definedName>
    <definedName name="dddd" localSheetId="9">#REF!</definedName>
    <definedName name="dddd">#REF!</definedName>
    <definedName name="_xlnm.Print_Titles" localSheetId="14">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P135" i="1" l="1"/>
  <c r="P134" i="1"/>
  <c r="D24" i="42" l="1"/>
  <c r="D23" i="42"/>
  <c r="D22" i="42"/>
  <c r="D21" i="42"/>
  <c r="D20" i="42"/>
  <c r="D13" i="42"/>
  <c r="E13" i="42" s="1"/>
  <c r="F13" i="42" s="1"/>
  <c r="D12" i="42"/>
  <c r="E12" i="42" s="1"/>
  <c r="F12" i="42" s="1"/>
  <c r="D11" i="42"/>
  <c r="E11" i="42" s="1"/>
  <c r="F11" i="42" s="1"/>
  <c r="D10" i="42"/>
  <c r="E10" i="42" s="1"/>
  <c r="F10" i="42" s="1"/>
  <c r="D9" i="42"/>
  <c r="E9" i="42" s="1"/>
  <c r="F9" i="42" s="1"/>
  <c r="Q205" i="1" l="1"/>
  <c r="R185" i="1"/>
  <c r="R182" i="1"/>
  <c r="Q182" i="1"/>
  <c r="Q180" i="1"/>
  <c r="V94" i="1"/>
  <c r="U94" i="1"/>
  <c r="V81" i="1"/>
  <c r="U16" i="1"/>
  <c r="G64" i="22" l="1"/>
  <c r="G49" i="22"/>
  <c r="G28" i="22"/>
  <c r="G22" i="22"/>
  <c r="C21" i="22"/>
  <c r="D21" i="22"/>
  <c r="F60" i="22"/>
  <c r="P136" i="1" l="1"/>
  <c r="F128" i="1"/>
  <c r="P102" i="1"/>
  <c r="P101" i="1"/>
  <c r="P100" i="1"/>
  <c r="P99" i="1"/>
  <c r="P98" i="1"/>
  <c r="P97" i="1"/>
  <c r="P96" i="1"/>
  <c r="P95" i="1"/>
  <c r="P94" i="1"/>
  <c r="P7" i="1"/>
  <c r="R107" i="1" l="1"/>
  <c r="K78" i="20"/>
  <c r="K76" i="20"/>
  <c r="J78" i="20"/>
  <c r="J76" i="20"/>
  <c r="F78" i="20"/>
  <c r="F76" i="20"/>
  <c r="E78" i="20"/>
  <c r="L54" i="29" l="1"/>
  <c r="L43" i="29"/>
  <c r="L28" i="29"/>
  <c r="L25" i="29"/>
  <c r="L24" i="29"/>
  <c r="L29" i="29" s="1"/>
  <c r="L34" i="29" s="1"/>
  <c r="L19" i="29"/>
  <c r="L16" i="29"/>
  <c r="L20" i="29" s="1"/>
  <c r="L12" i="29"/>
  <c r="L6" i="29"/>
  <c r="L5" i="29"/>
  <c r="L44" i="29" l="1"/>
  <c r="L45" i="29" s="1"/>
  <c r="L56" i="29"/>
  <c r="L38" i="29"/>
  <c r="L32" i="29"/>
  <c r="L33" i="29" s="1"/>
  <c r="L35" i="29" s="1"/>
  <c r="L36" i="29" s="1"/>
  <c r="P110" i="1" l="1"/>
  <c r="N56" i="29"/>
  <c r="M56" i="29"/>
  <c r="M58" i="29" s="1"/>
  <c r="K57" i="29"/>
  <c r="K58" i="29"/>
  <c r="M25" i="29"/>
  <c r="M12" i="29"/>
  <c r="M5" i="29"/>
  <c r="V108" i="1"/>
  <c r="U108" i="1"/>
  <c r="Q108" i="1"/>
  <c r="P108" i="1"/>
  <c r="W107" i="1"/>
  <c r="S107" i="1"/>
  <c r="P144" i="1"/>
  <c r="P143" i="1"/>
  <c r="V180" i="1"/>
  <c r="I56" i="29"/>
  <c r="J25" i="29"/>
  <c r="K25" i="29"/>
  <c r="K23" i="29"/>
  <c r="K22" i="29"/>
  <c r="K47" i="29"/>
  <c r="J52" i="29"/>
  <c r="K52" i="29" s="1"/>
  <c r="J51" i="29"/>
  <c r="K51" i="29" s="1"/>
  <c r="J48" i="29"/>
  <c r="K48" i="29" s="1"/>
  <c r="J47" i="29"/>
  <c r="J43" i="29"/>
  <c r="K26" i="29"/>
  <c r="J28" i="29"/>
  <c r="J24" i="29"/>
  <c r="J29" i="29" s="1"/>
  <c r="J34" i="29" s="1"/>
  <c r="J6" i="29"/>
  <c r="K6" i="29" s="1"/>
  <c r="K43" i="29"/>
  <c r="K28" i="29"/>
  <c r="M57" i="29" l="1"/>
  <c r="K24" i="29"/>
  <c r="K29" i="29" s="1"/>
  <c r="K54" i="29"/>
  <c r="J54" i="29"/>
  <c r="I12" i="29" l="1"/>
  <c r="Q102" i="1" l="1"/>
  <c r="Q101" i="1"/>
  <c r="Q100" i="1"/>
  <c r="Q95" i="1"/>
  <c r="F129" i="1"/>
  <c r="H127" i="1"/>
  <c r="G63" i="22" l="1"/>
  <c r="F57" i="22"/>
  <c r="I55" i="22"/>
  <c r="G12" i="22"/>
  <c r="Q112" i="1"/>
  <c r="G18" i="22"/>
  <c r="F44" i="22"/>
  <c r="F46" i="22" s="1"/>
  <c r="F49" i="22" s="1"/>
  <c r="F36" i="22"/>
  <c r="F35" i="22"/>
  <c r="F19" i="22"/>
  <c r="F31" i="22"/>
  <c r="F33" i="22" s="1"/>
  <c r="F38" i="22" s="1"/>
  <c r="F41" i="22" s="1"/>
  <c r="Q117" i="1" s="1"/>
  <c r="M54" i="29"/>
  <c r="M43" i="29"/>
  <c r="M28" i="29"/>
  <c r="M14" i="29" s="1"/>
  <c r="M24" i="29"/>
  <c r="M29" i="29" s="1"/>
  <c r="M34" i="29" s="1"/>
  <c r="Q91" i="1"/>
  <c r="Q90" i="1"/>
  <c r="Q89" i="1"/>
  <c r="Q83" i="1"/>
  <c r="B4" i="39"/>
  <c r="B57" i="39"/>
  <c r="C56" i="39"/>
  <c r="C54" i="39"/>
  <c r="C53" i="39"/>
  <c r="B45" i="39"/>
  <c r="C43" i="39"/>
  <c r="C42" i="39"/>
  <c r="C32" i="39"/>
  <c r="B29" i="39"/>
  <c r="B13" i="39" s="1"/>
  <c r="C28" i="39"/>
  <c r="C27" i="39"/>
  <c r="B25" i="39"/>
  <c r="B23" i="39"/>
  <c r="B30" i="39" s="1"/>
  <c r="B35" i="39" s="1"/>
  <c r="C22" i="39"/>
  <c r="C21" i="39"/>
  <c r="C16" i="39"/>
  <c r="C10" i="39"/>
  <c r="C5" i="39"/>
  <c r="C4" i="39" s="1"/>
  <c r="Q75" i="1"/>
  <c r="X4" i="1"/>
  <c r="Q185" i="1"/>
  <c r="Q177" i="1"/>
  <c r="F52" i="22" l="1"/>
  <c r="F14" i="22"/>
  <c r="F21" i="22" s="1"/>
  <c r="M16" i="29"/>
  <c r="M19" i="29" s="1"/>
  <c r="M20" i="29" s="1"/>
  <c r="M7" i="29"/>
  <c r="C45" i="39"/>
  <c r="C23" i="39"/>
  <c r="C30" i="39" s="1"/>
  <c r="C35" i="39" s="1"/>
  <c r="B10" i="39"/>
  <c r="B58" i="39"/>
  <c r="C57" i="39"/>
  <c r="C58" i="39" s="1"/>
  <c r="C29" i="39"/>
  <c r="C13" i="39" s="1"/>
  <c r="C15" i="39" s="1"/>
  <c r="U81" i="1"/>
  <c r="F53" i="22" l="1"/>
  <c r="Q116" i="1" s="1"/>
  <c r="F16" i="22"/>
  <c r="F20" i="22" s="1"/>
  <c r="F22" i="22" s="1"/>
  <c r="F68" i="22"/>
  <c r="F70" i="22" s="1"/>
  <c r="F73" i="22" s="1"/>
  <c r="F27" i="22"/>
  <c r="M32" i="29"/>
  <c r="M33" i="29" s="1"/>
  <c r="M35" i="29" s="1"/>
  <c r="M36" i="29" s="1"/>
  <c r="M38" i="29"/>
  <c r="M44" i="29"/>
  <c r="M45" i="29" s="1"/>
  <c r="C25" i="39"/>
  <c r="B15" i="39"/>
  <c r="B17" i="39" s="1"/>
  <c r="B18" i="39" s="1"/>
  <c r="C17" i="39"/>
  <c r="C18" i="39" s="1"/>
  <c r="L24" i="38"/>
  <c r="L12" i="38"/>
  <c r="J11" i="38"/>
  <c r="I6" i="38"/>
  <c r="I9" i="38" s="1"/>
  <c r="H6" i="38"/>
  <c r="F24" i="38"/>
  <c r="E24" i="38"/>
  <c r="F12" i="38"/>
  <c r="E12" i="38"/>
  <c r="F18" i="38"/>
  <c r="E18" i="38"/>
  <c r="E21" i="38" s="1"/>
  <c r="C18" i="38"/>
  <c r="B18" i="38"/>
  <c r="F6" i="38"/>
  <c r="F9" i="38" s="1"/>
  <c r="E9" i="38"/>
  <c r="E11" i="38" s="1"/>
  <c r="C11" i="38"/>
  <c r="B11" i="38"/>
  <c r="C9" i="38"/>
  <c r="B9" i="38"/>
  <c r="E6" i="38"/>
  <c r="C6" i="38"/>
  <c r="B6" i="38"/>
  <c r="F64" i="22" l="1"/>
  <c r="F28" i="22"/>
  <c r="F29" i="22" s="1"/>
  <c r="B33" i="39"/>
  <c r="B34" i="39" s="1"/>
  <c r="B36" i="39" s="1"/>
  <c r="B37" i="39" s="1"/>
  <c r="B46" i="39"/>
  <c r="B49" i="39" s="1"/>
  <c r="B50" i="39" s="1"/>
  <c r="B39" i="39"/>
  <c r="C46" i="39"/>
  <c r="C49" i="39" s="1"/>
  <c r="C50" i="39" s="1"/>
  <c r="C39" i="39"/>
  <c r="C33" i="39"/>
  <c r="C34" i="39" s="1"/>
  <c r="C36" i="39" s="1"/>
  <c r="C37" i="39" s="1"/>
  <c r="I11" i="38"/>
  <c r="H9" i="38"/>
  <c r="H11" i="38" s="1"/>
  <c r="B21" i="38"/>
  <c r="B23" i="38" s="1"/>
  <c r="C21" i="38"/>
  <c r="C23" i="38" s="1"/>
  <c r="E23" i="38"/>
  <c r="F21" i="38"/>
  <c r="F23" i="38" s="1"/>
  <c r="F11" i="38"/>
  <c r="V181" i="1"/>
  <c r="F75" i="22" l="1"/>
  <c r="Q115" i="1"/>
  <c r="B60" i="39"/>
  <c r="C60" i="39"/>
  <c r="Q207" i="1"/>
  <c r="R207" i="1"/>
  <c r="S207" i="1"/>
  <c r="P207" i="1"/>
  <c r="U206" i="1"/>
  <c r="U205" i="1"/>
  <c r="U204" i="1"/>
  <c r="U202" i="1"/>
  <c r="Q199" i="1"/>
  <c r="R199" i="1"/>
  <c r="S199" i="1"/>
  <c r="P199" i="1"/>
  <c r="U197" i="1"/>
  <c r="U198" i="1"/>
  <c r="U196" i="1"/>
  <c r="U187" i="1"/>
  <c r="U188" i="1"/>
  <c r="U189" i="1"/>
  <c r="U190" i="1"/>
  <c r="U191" i="1"/>
  <c r="U192" i="1"/>
  <c r="U193" i="1"/>
  <c r="U194" i="1"/>
  <c r="U195" i="1"/>
  <c r="U177" i="1"/>
  <c r="U180" i="1"/>
  <c r="U181" i="1"/>
  <c r="U182" i="1"/>
  <c r="U184" i="1"/>
  <c r="U185" i="1"/>
  <c r="U186" i="1"/>
  <c r="U176" i="1"/>
  <c r="V175" i="1"/>
  <c r="U207" i="1" l="1"/>
  <c r="U199" i="1"/>
  <c r="AC54" i="29" l="1"/>
  <c r="AB54" i="29"/>
  <c r="AD52" i="29"/>
  <c r="AD48" i="29"/>
  <c r="AD54" i="29" s="1"/>
  <c r="AD43" i="29"/>
  <c r="AC43" i="29"/>
  <c r="AB43" i="29"/>
  <c r="AD28" i="29"/>
  <c r="AD14" i="29" s="1"/>
  <c r="AC28" i="29"/>
  <c r="AC14" i="29" s="1"/>
  <c r="AB28" i="29"/>
  <c r="AD24" i="29"/>
  <c r="AD29" i="29" s="1"/>
  <c r="AD34" i="29" s="1"/>
  <c r="AC24" i="29"/>
  <c r="AC29" i="29" s="1"/>
  <c r="AC34" i="29" s="1"/>
  <c r="AB24" i="29"/>
  <c r="AB29" i="29" s="1"/>
  <c r="AB34" i="29" s="1"/>
  <c r="AB14" i="29"/>
  <c r="AB7" i="29"/>
  <c r="AC12" i="29" s="1"/>
  <c r="AD12" i="29" s="1"/>
  <c r="AD3" i="29"/>
  <c r="AC3" i="29"/>
  <c r="AB2" i="29"/>
  <c r="Z54" i="29"/>
  <c r="Y54" i="29"/>
  <c r="AA52" i="29"/>
  <c r="AA48" i="29"/>
  <c r="AA54" i="29" s="1"/>
  <c r="AA43" i="29"/>
  <c r="Z43" i="29"/>
  <c r="Y43" i="29"/>
  <c r="AA28" i="29"/>
  <c r="AA14" i="29" s="1"/>
  <c r="Z28" i="29"/>
  <c r="Y28" i="29"/>
  <c r="AA24" i="29"/>
  <c r="AA29" i="29" s="1"/>
  <c r="AA34" i="29" s="1"/>
  <c r="Z24" i="29"/>
  <c r="Z29" i="29" s="1"/>
  <c r="Z34" i="29" s="1"/>
  <c r="Y24" i="29"/>
  <c r="Y29" i="29" s="1"/>
  <c r="Y34" i="29" s="1"/>
  <c r="Z14" i="29"/>
  <c r="Y14" i="29"/>
  <c r="Y7" i="29"/>
  <c r="Z12" i="29" s="1"/>
  <c r="AA12" i="29" s="1"/>
  <c r="AA3" i="29"/>
  <c r="Z3" i="29"/>
  <c r="Y2" i="29"/>
  <c r="V2" i="29"/>
  <c r="S2" i="29"/>
  <c r="W54" i="29"/>
  <c r="V54" i="29"/>
  <c r="X52" i="29"/>
  <c r="X48" i="29"/>
  <c r="X54" i="29" s="1"/>
  <c r="X43" i="29"/>
  <c r="W43" i="29"/>
  <c r="V43" i="29"/>
  <c r="X28" i="29"/>
  <c r="X14" i="29" s="1"/>
  <c r="W28" i="29"/>
  <c r="W14" i="29" s="1"/>
  <c r="V28" i="29"/>
  <c r="X24" i="29"/>
  <c r="X29" i="29" s="1"/>
  <c r="X34" i="29" s="1"/>
  <c r="W24" i="29"/>
  <c r="W29" i="29" s="1"/>
  <c r="W34" i="29" s="1"/>
  <c r="V24" i="29"/>
  <c r="V29" i="29" s="1"/>
  <c r="V34" i="29" s="1"/>
  <c r="V14" i="29"/>
  <c r="V7" i="29"/>
  <c r="V12" i="29" s="1"/>
  <c r="V6" i="29"/>
  <c r="AB6" i="29" s="1"/>
  <c r="X3" i="29"/>
  <c r="W3" i="29"/>
  <c r="S7" i="29"/>
  <c r="T12" i="29" s="1"/>
  <c r="U12" i="29" s="1"/>
  <c r="U3" i="29"/>
  <c r="T3" i="29"/>
  <c r="S6" i="29"/>
  <c r="Y6" i="29" s="1"/>
  <c r="U52" i="29"/>
  <c r="U54" i="29" s="1"/>
  <c r="U48" i="29"/>
  <c r="T54" i="29"/>
  <c r="S54" i="29"/>
  <c r="T43" i="29"/>
  <c r="U43" i="29"/>
  <c r="S43" i="29"/>
  <c r="T28" i="29"/>
  <c r="T14" i="29" s="1"/>
  <c r="U28" i="29"/>
  <c r="S28" i="29"/>
  <c r="T24" i="29"/>
  <c r="T29" i="29" s="1"/>
  <c r="T34" i="29" s="1"/>
  <c r="U24" i="29"/>
  <c r="U29" i="29" s="1"/>
  <c r="U34" i="29" s="1"/>
  <c r="S24" i="29"/>
  <c r="S29" i="29" s="1"/>
  <c r="S34" i="29" s="1"/>
  <c r="U14" i="29"/>
  <c r="S14" i="29"/>
  <c r="E9" i="20"/>
  <c r="F9" i="20"/>
  <c r="H9" i="20" s="1"/>
  <c r="J9" i="20"/>
  <c r="K9" i="20"/>
  <c r="L9" i="20" s="1"/>
  <c r="C9" i="20"/>
  <c r="P66" i="1"/>
  <c r="P75" i="1"/>
  <c r="C14" i="24"/>
  <c r="H124" i="1"/>
  <c r="W9" i="1"/>
  <c r="S9" i="1"/>
  <c r="R9" i="1"/>
  <c r="C15" i="24"/>
  <c r="Y130" i="1"/>
  <c r="H130" i="1"/>
  <c r="L130"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N12" i="29"/>
  <c r="N5" i="29"/>
  <c r="N24" i="29"/>
  <c r="N29" i="29" s="1"/>
  <c r="N34" i="29" s="1"/>
  <c r="N28" i="29"/>
  <c r="N14" i="29" s="1"/>
  <c r="N43" i="29"/>
  <c r="N54" i="29"/>
  <c r="K26" i="21"/>
  <c r="Q26" i="21"/>
  <c r="V7" i="21"/>
  <c r="D6" i="24"/>
  <c r="C42" i="24"/>
  <c r="C41" i="24"/>
  <c r="C38" i="24"/>
  <c r="C37" i="24"/>
  <c r="C36" i="24"/>
  <c r="C35" i="24"/>
  <c r="C31" i="24"/>
  <c r="C26" i="24"/>
  <c r="C25" i="24"/>
  <c r="C32" i="24"/>
  <c r="C27" i="24"/>
  <c r="C28" i="24"/>
  <c r="C20" i="24"/>
  <c r="H128" i="1"/>
  <c r="I121" i="1"/>
  <c r="E121" i="1"/>
  <c r="K11" i="21"/>
  <c r="K4" i="21" s="1"/>
  <c r="S6" i="21"/>
  <c r="T6" i="21"/>
  <c r="U6" i="21"/>
  <c r="V6" i="21"/>
  <c r="R6" i="21"/>
  <c r="O3" i="29" l="1"/>
  <c r="W12" i="29"/>
  <c r="X12" i="29" s="1"/>
  <c r="S12" i="29"/>
  <c r="S16" i="29" s="1"/>
  <c r="S19" i="29" s="1"/>
  <c r="S20" i="29" s="1"/>
  <c r="S5" i="29"/>
  <c r="AB12" i="29"/>
  <c r="AB16" i="29" s="1"/>
  <c r="Y12" i="29"/>
  <c r="Y16" i="29" s="1"/>
  <c r="V5" i="29"/>
  <c r="G9" i="20"/>
  <c r="T16" i="29"/>
  <c r="T19" i="29" s="1"/>
  <c r="T20" i="29" s="1"/>
  <c r="AB5" i="29"/>
  <c r="Y5" i="29"/>
  <c r="V16" i="29"/>
  <c r="H129"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5" i="29"/>
  <c r="N16" i="29"/>
  <c r="I7" i="29" l="1"/>
  <c r="J5" i="29"/>
  <c r="J7" i="29" s="1"/>
  <c r="J12" i="29" s="1"/>
  <c r="J16" i="29" s="1"/>
  <c r="J19" i="29" s="1"/>
  <c r="J20" i="29" s="1"/>
  <c r="AC16" i="29"/>
  <c r="AC19" i="29" s="1"/>
  <c r="AC20" i="29" s="1"/>
  <c r="AD16" i="29"/>
  <c r="AD19" i="29" s="1"/>
  <c r="AD20" i="29" s="1"/>
  <c r="Z16" i="29"/>
  <c r="Z19" i="29" s="1"/>
  <c r="AA16" i="29"/>
  <c r="AA19" i="29" s="1"/>
  <c r="AA20" i="29" s="1"/>
  <c r="W16" i="29"/>
  <c r="W19" i="29" s="1"/>
  <c r="W20" i="29" s="1"/>
  <c r="W32" i="29" s="1"/>
  <c r="W33" i="29" s="1"/>
  <c r="W35" i="29" s="1"/>
  <c r="W36" i="29" s="1"/>
  <c r="X16" i="29"/>
  <c r="X19" i="29" s="1"/>
  <c r="X20" i="29" s="1"/>
  <c r="AB19" i="29"/>
  <c r="AB20" i="29" s="1"/>
  <c r="Y19" i="29"/>
  <c r="Y20" i="29" s="1"/>
  <c r="V19" i="29"/>
  <c r="V20" i="29" s="1"/>
  <c r="U16" i="29"/>
  <c r="U19" i="29" s="1"/>
  <c r="U20" i="29" s="1"/>
  <c r="U44" i="29" s="1"/>
  <c r="U45" i="29" s="1"/>
  <c r="S44" i="29"/>
  <c r="S45" i="29" s="1"/>
  <c r="S38" i="29"/>
  <c r="S32" i="29"/>
  <c r="S33" i="29" s="1"/>
  <c r="S35" i="29" s="1"/>
  <c r="S36" i="29" s="1"/>
  <c r="T44" i="29"/>
  <c r="T45" i="29" s="1"/>
  <c r="T38" i="29"/>
  <c r="T32" i="29"/>
  <c r="T33" i="29" s="1"/>
  <c r="T35" i="29" s="1"/>
  <c r="T36" i="29" s="1"/>
  <c r="N19" i="29"/>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2" i="1"/>
  <c r="I44" i="22"/>
  <c r="G44" i="22"/>
  <c r="G52" i="22" s="1"/>
  <c r="G36" i="22"/>
  <c r="G35" i="22"/>
  <c r="G19" i="22"/>
  <c r="G6" i="22"/>
  <c r="P103" i="1"/>
  <c r="Q103" i="1"/>
  <c r="I54" i="29"/>
  <c r="I43" i="29"/>
  <c r="I28" i="29"/>
  <c r="I14" i="29" s="1"/>
  <c r="K14" i="29" s="1"/>
  <c r="I24" i="29"/>
  <c r="I29" i="29" s="1"/>
  <c r="I34" i="29" s="1"/>
  <c r="K34" i="29" s="1"/>
  <c r="Q58" i="21"/>
  <c r="Q59" i="21" s="1"/>
  <c r="Q46" i="21"/>
  <c r="Q30" i="21"/>
  <c r="Q14" i="21" s="1"/>
  <c r="Q24" i="21"/>
  <c r="Q31" i="21" s="1"/>
  <c r="Q36" i="21" s="1"/>
  <c r="R11" i="21"/>
  <c r="D8" i="24"/>
  <c r="D20" i="35"/>
  <c r="D19" i="35"/>
  <c r="D18" i="35"/>
  <c r="D17" i="35"/>
  <c r="C20" i="35"/>
  <c r="C19" i="35"/>
  <c r="C18" i="35"/>
  <c r="C17" i="35"/>
  <c r="B20" i="35"/>
  <c r="B19" i="35"/>
  <c r="B18" i="35"/>
  <c r="B17" i="35"/>
  <c r="E27" i="36"/>
  <c r="N20" i="29" l="1"/>
  <c r="N32" i="29" s="1"/>
  <c r="N33" i="29" s="1"/>
  <c r="N35" i="29" s="1"/>
  <c r="N36" i="29" s="1"/>
  <c r="J44" i="29"/>
  <c r="J45" i="29" s="1"/>
  <c r="J38" i="29"/>
  <c r="J56" i="29" s="1"/>
  <c r="J32" i="29"/>
  <c r="J33" i="29" s="1"/>
  <c r="J35" i="29" s="1"/>
  <c r="J36" i="29" s="1"/>
  <c r="K5" i="29"/>
  <c r="K7" i="29" s="1"/>
  <c r="K12" i="29" s="1"/>
  <c r="K16" i="29" s="1"/>
  <c r="K19" i="29" s="1"/>
  <c r="K20" i="29" s="1"/>
  <c r="G14" i="22"/>
  <c r="G55" i="22"/>
  <c r="G57" i="22" s="1"/>
  <c r="G60" i="22" s="1"/>
  <c r="Z20" i="29"/>
  <c r="Z44" i="29" s="1"/>
  <c r="Z45" i="29" s="1"/>
  <c r="W38" i="29"/>
  <c r="W44" i="29"/>
  <c r="W45" i="29" s="1"/>
  <c r="U32" i="29"/>
  <c r="U33" i="29" s="1"/>
  <c r="U35" i="29" s="1"/>
  <c r="U36" i="29" s="1"/>
  <c r="U38" i="29"/>
  <c r="AC44" i="29"/>
  <c r="AC45" i="29" s="1"/>
  <c r="AC38" i="29"/>
  <c r="AC32" i="29"/>
  <c r="AC33" i="29" s="1"/>
  <c r="AC35" i="29" s="1"/>
  <c r="AC36" i="29" s="1"/>
  <c r="AD32" i="29"/>
  <c r="AD33" i="29" s="1"/>
  <c r="AD35" i="29" s="1"/>
  <c r="AD36" i="29" s="1"/>
  <c r="AD44" i="29"/>
  <c r="AD45" i="29" s="1"/>
  <c r="AD38" i="29"/>
  <c r="AB32" i="29"/>
  <c r="AB33" i="29" s="1"/>
  <c r="AB35" i="29" s="1"/>
  <c r="AB36" i="29" s="1"/>
  <c r="AB44" i="29"/>
  <c r="AB45" i="29" s="1"/>
  <c r="AB38" i="29"/>
  <c r="Y32" i="29"/>
  <c r="Y33" i="29" s="1"/>
  <c r="Y35" i="29" s="1"/>
  <c r="Y36" i="29" s="1"/>
  <c r="Y38" i="29"/>
  <c r="Y44" i="29"/>
  <c r="Y45" i="29" s="1"/>
  <c r="AA44" i="29"/>
  <c r="AA45" i="29" s="1"/>
  <c r="AA32" i="29"/>
  <c r="AA33" i="29" s="1"/>
  <c r="AA35" i="29" s="1"/>
  <c r="AA36" i="29" s="1"/>
  <c r="AA38" i="29"/>
  <c r="X44" i="29"/>
  <c r="X45" i="29" s="1"/>
  <c r="X32" i="29"/>
  <c r="X33" i="29" s="1"/>
  <c r="X35" i="29" s="1"/>
  <c r="X36" i="29" s="1"/>
  <c r="X38" i="29"/>
  <c r="V32" i="29"/>
  <c r="V33" i="29" s="1"/>
  <c r="V35" i="29" s="1"/>
  <c r="V36" i="29" s="1"/>
  <c r="V38" i="29"/>
  <c r="V44" i="29"/>
  <c r="V45" i="29" s="1"/>
  <c r="T56" i="29"/>
  <c r="D12" i="37" s="1"/>
  <c r="S56" i="29"/>
  <c r="U24" i="21"/>
  <c r="U26" i="21" s="1"/>
  <c r="T30" i="21"/>
  <c r="T14" i="21" s="1"/>
  <c r="V30" i="21"/>
  <c r="V14" i="21" s="1"/>
  <c r="N38" i="29"/>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G68" i="22"/>
  <c r="G70" i="22" s="1"/>
  <c r="G73" i="22" s="1"/>
  <c r="P133" i="1" s="1"/>
  <c r="G31" i="22"/>
  <c r="G33" i="22" s="1"/>
  <c r="G38" i="22" s="1"/>
  <c r="G41" i="22" s="1"/>
  <c r="P117" i="1" s="1"/>
  <c r="G46" i="22"/>
  <c r="G53" i="22" s="1"/>
  <c r="I16" i="29"/>
  <c r="Q94" i="1" s="1"/>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P116" i="1" l="1"/>
  <c r="G16" i="22"/>
  <c r="G20" i="22" s="1"/>
  <c r="K44" i="29"/>
  <c r="K45" i="29" s="1"/>
  <c r="N44" i="29"/>
  <c r="N45" i="29" s="1"/>
  <c r="G27" i="22"/>
  <c r="U56" i="29"/>
  <c r="D6" i="37" s="1"/>
  <c r="Z38" i="29"/>
  <c r="Z56" i="29" s="1"/>
  <c r="F12" i="37" s="1"/>
  <c r="W56" i="29"/>
  <c r="E12" i="37" s="1"/>
  <c r="V56" i="29"/>
  <c r="Z32" i="29"/>
  <c r="Z33" i="29" s="1"/>
  <c r="Z35" i="29" s="1"/>
  <c r="Z36" i="29" s="1"/>
  <c r="AA56" i="29"/>
  <c r="F6" i="37" s="1"/>
  <c r="AB56" i="29"/>
  <c r="Y56" i="29"/>
  <c r="X56" i="29"/>
  <c r="E6" i="37" s="1"/>
  <c r="AD56" i="29"/>
  <c r="G6" i="37" s="1"/>
  <c r="AC56" i="29"/>
  <c r="G12" i="37" s="1"/>
  <c r="S26" i="21"/>
  <c r="V31" i="21"/>
  <c r="V36" i="21" s="1"/>
  <c r="R31" i="21"/>
  <c r="R36" i="21" s="1"/>
  <c r="I19" i="29"/>
  <c r="Q96" i="1" s="1"/>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G29" i="22" l="1"/>
  <c r="G75" i="22" s="1"/>
  <c r="I20" i="29"/>
  <c r="R47" i="21"/>
  <c r="R50" i="21" s="1"/>
  <c r="R51" i="21" s="1"/>
  <c r="R40" i="21"/>
  <c r="R34" i="21"/>
  <c r="R35" i="21" s="1"/>
  <c r="R37" i="21" s="1"/>
  <c r="R38" i="21" s="1"/>
  <c r="F7" i="36"/>
  <c r="F8" i="36" s="1"/>
  <c r="G21" i="35"/>
  <c r="E21" i="35"/>
  <c r="E12" i="35"/>
  <c r="E14" i="35" s="1"/>
  <c r="P115" i="1" l="1"/>
  <c r="R61" i="21"/>
  <c r="I38" i="29"/>
  <c r="Q97" i="1" s="1"/>
  <c r="I44" i="29"/>
  <c r="I45" i="29" s="1"/>
  <c r="Q99" i="1" s="1"/>
  <c r="I32" i="29"/>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33" i="29" l="1"/>
  <c r="K32" i="29"/>
  <c r="D15" i="31"/>
  <c r="E11" i="34"/>
  <c r="E14" i="34" s="1"/>
  <c r="I4" i="21"/>
  <c r="I7" i="21" s="1"/>
  <c r="I35" i="29" l="1"/>
  <c r="I36" i="29" s="1"/>
  <c r="K33" i="29"/>
  <c r="K35" i="29" s="1"/>
  <c r="B12" i="37"/>
  <c r="Y57" i="29"/>
  <c r="Y58" i="29"/>
  <c r="B6" i="37"/>
  <c r="T57" i="29"/>
  <c r="AB57" i="29"/>
  <c r="V57" i="29"/>
  <c r="V58" i="29"/>
  <c r="T58" i="29"/>
  <c r="AB58" i="29"/>
  <c r="S58" i="29"/>
  <c r="W58" i="29"/>
  <c r="W57" i="29"/>
  <c r="S57" i="29"/>
  <c r="AC57" i="29"/>
  <c r="Z57" i="29"/>
  <c r="AC58" i="29"/>
  <c r="Z58" i="29"/>
  <c r="AI123" i="1"/>
  <c r="AJ123" i="1"/>
  <c r="AK123" i="1"/>
  <c r="AL91" i="1"/>
  <c r="E7" i="29"/>
  <c r="K38" i="29" l="1"/>
  <c r="K56" i="29" s="1"/>
  <c r="K36" i="29"/>
  <c r="D7" i="37"/>
  <c r="F7" i="37"/>
  <c r="E7" i="37"/>
  <c r="G7" i="37"/>
  <c r="E13" i="37"/>
  <c r="G13" i="37"/>
  <c r="F13" i="37"/>
  <c r="D13" i="37"/>
  <c r="H9" i="36"/>
  <c r="F9" i="36" s="1"/>
  <c r="F42" i="36" s="1"/>
  <c r="D68" i="22"/>
  <c r="D70" i="22" s="1"/>
  <c r="D73" i="22" s="1"/>
  <c r="D44" i="22"/>
  <c r="D52" i="22" s="1"/>
  <c r="D60" i="22" s="1"/>
  <c r="D36" i="22"/>
  <c r="D35" i="22"/>
  <c r="D33" i="22"/>
  <c r="D16" i="22"/>
  <c r="D19" i="22"/>
  <c r="K58" i="21"/>
  <c r="K46" i="21"/>
  <c r="K30" i="21"/>
  <c r="K14" i="21" s="1"/>
  <c r="K24" i="21"/>
  <c r="Q32" i="1"/>
  <c r="E5"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4" i="29"/>
  <c r="C34" i="29"/>
  <c r="C14" i="29"/>
  <c r="D14" i="29"/>
  <c r="E12" i="29"/>
  <c r="D27" i="22" l="1"/>
  <c r="D55" i="22"/>
  <c r="D57" i="22" s="1"/>
  <c r="D46" i="22"/>
  <c r="D49" i="22" s="1"/>
  <c r="D53" i="22" s="1"/>
  <c r="D7" i="32"/>
  <c r="D20" i="22"/>
  <c r="D8" i="35"/>
  <c r="D38" i="22"/>
  <c r="D41" i="22" s="1"/>
  <c r="K59" i="21"/>
  <c r="R4" i="21"/>
  <c r="F10" i="36"/>
  <c r="F11" i="36" s="1"/>
  <c r="H42" i="36"/>
  <c r="K31" i="21"/>
  <c r="K36" i="21" s="1"/>
  <c r="O31" i="21"/>
  <c r="O36" i="21" s="1"/>
  <c r="M26" i="21"/>
  <c r="P26" i="21"/>
  <c r="L26" i="21"/>
  <c r="N26" i="21"/>
  <c r="C6" i="32"/>
  <c r="C7" i="32" s="1"/>
  <c r="E28" i="29"/>
  <c r="E14" i="29" s="1"/>
  <c r="E16" i="29" s="1"/>
  <c r="E24"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E71" i="1"/>
  <c r="AF71" i="1"/>
  <c r="AG71" i="1"/>
  <c r="AE73" i="1"/>
  <c r="AF73" i="1"/>
  <c r="AG73" i="1"/>
  <c r="AE74" i="1"/>
  <c r="AF74" i="1"/>
  <c r="AG74" i="1"/>
  <c r="AF70" i="1"/>
  <c r="AG70" i="1"/>
  <c r="AE70" i="1"/>
  <c r="AF69" i="1"/>
  <c r="AG69" i="1"/>
  <c r="AE69" i="1"/>
  <c r="G4" i="20"/>
  <c r="D12" i="29"/>
  <c r="C12" i="29"/>
  <c r="D52" i="29"/>
  <c r="D51" i="29"/>
  <c r="D48" i="29"/>
  <c r="D47" i="29"/>
  <c r="C22" i="29"/>
  <c r="D22" i="29" s="1"/>
  <c r="C6" i="29"/>
  <c r="D6"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4" i="1"/>
  <c r="D28" i="22" l="1"/>
  <c r="D29" i="22" s="1"/>
  <c r="D75" i="22" s="1"/>
  <c r="F76" i="22" s="1"/>
  <c r="F77" i="22" s="1"/>
  <c r="D22" i="22"/>
  <c r="E19" i="29"/>
  <c r="R23" i="1"/>
  <c r="P32" i="1"/>
  <c r="B8" i="35" s="1"/>
  <c r="G9" i="36"/>
  <c r="C9" i="32"/>
  <c r="E29" i="29"/>
  <c r="E34" i="29" s="1"/>
  <c r="W24" i="1"/>
  <c r="S23" i="1"/>
  <c r="G6" i="31"/>
  <c r="C15" i="31"/>
  <c r="F15" i="31"/>
  <c r="C22" i="24"/>
  <c r="C21" i="24"/>
  <c r="C68" i="22"/>
  <c r="C70" i="22" s="1"/>
  <c r="C73" i="22" s="1"/>
  <c r="C44" i="22"/>
  <c r="C46" i="22" s="1"/>
  <c r="C49" i="22" s="1"/>
  <c r="C36" i="22"/>
  <c r="C35" i="22"/>
  <c r="C33" i="22"/>
  <c r="C19" i="22"/>
  <c r="C16" i="22"/>
  <c r="I30" i="21"/>
  <c r="I14" i="21" s="1"/>
  <c r="C27" i="22" l="1"/>
  <c r="C55" i="22"/>
  <c r="C57" i="22" s="1"/>
  <c r="C10" i="32"/>
  <c r="C12" i="32"/>
  <c r="C13" i="32" s="1"/>
  <c r="G10" i="36"/>
  <c r="G11" i="36" s="1"/>
  <c r="G42" i="36"/>
  <c r="R32" i="1"/>
  <c r="AE76" i="1"/>
  <c r="AG76" i="1"/>
  <c r="AF76" i="1"/>
  <c r="C52" i="22"/>
  <c r="C20" i="22"/>
  <c r="C38" i="22"/>
  <c r="C41" i="22" s="1"/>
  <c r="G14" i="21"/>
  <c r="R95" i="1"/>
  <c r="C43" i="29"/>
  <c r="C5" i="29"/>
  <c r="W98" i="1"/>
  <c r="S98" i="1"/>
  <c r="R98" i="1"/>
  <c r="W103" i="1"/>
  <c r="S103" i="1"/>
  <c r="V104" i="1"/>
  <c r="U104" i="1"/>
  <c r="AK102" i="1"/>
  <c r="AJ102" i="1"/>
  <c r="AI102" i="1"/>
  <c r="W102" i="1"/>
  <c r="S102" i="1"/>
  <c r="W101" i="1"/>
  <c r="S101" i="1"/>
  <c r="W100" i="1"/>
  <c r="S100" i="1"/>
  <c r="W99" i="1"/>
  <c r="W97" i="1"/>
  <c r="W96" i="1"/>
  <c r="W95" i="1"/>
  <c r="S95" i="1"/>
  <c r="C28" i="22" l="1"/>
  <c r="C29" i="22" s="1"/>
  <c r="C22" i="22"/>
  <c r="C53" i="22"/>
  <c r="C60" i="22"/>
  <c r="C16" i="29"/>
  <c r="C54" i="29"/>
  <c r="AI104" i="1"/>
  <c r="D54" i="29"/>
  <c r="R103" i="1"/>
  <c r="R100" i="1"/>
  <c r="W94" i="1"/>
  <c r="R101" i="1"/>
  <c r="R102" i="1"/>
  <c r="W104" i="1"/>
  <c r="AJ104" i="1"/>
  <c r="AK104" i="1"/>
  <c r="S94" i="1"/>
  <c r="E43" i="29"/>
  <c r="D43" i="29"/>
  <c r="I59" i="21"/>
  <c r="I46" i="21"/>
  <c r="I24" i="21"/>
  <c r="I26" i="21" s="1"/>
  <c r="C75" i="22" l="1"/>
  <c r="C19" i="29"/>
  <c r="C20" i="29" s="1"/>
  <c r="C32" i="29" s="1"/>
  <c r="C33" i="29" s="1"/>
  <c r="C38" i="29" s="1"/>
  <c r="C36" i="29" s="1"/>
  <c r="E54" i="29"/>
  <c r="I31" i="21"/>
  <c r="I36" i="21" s="1"/>
  <c r="D16" i="29"/>
  <c r="D19" i="29" s="1"/>
  <c r="D5" i="29"/>
  <c r="E20" i="29" l="1"/>
  <c r="C44" i="29"/>
  <c r="C45" i="29" s="1"/>
  <c r="C56" i="29" s="1"/>
  <c r="E44" i="29" l="1"/>
  <c r="S96" i="1"/>
  <c r="D7" i="24"/>
  <c r="C7" i="24"/>
  <c r="E32" i="29"/>
  <c r="E33" i="29" s="1"/>
  <c r="E35" i="29" s="1"/>
  <c r="E36" i="29" s="1"/>
  <c r="E38" i="29"/>
  <c r="E56" i="29" s="1"/>
  <c r="E45" i="29"/>
  <c r="R94" i="1"/>
  <c r="D20" i="29"/>
  <c r="R96" i="1"/>
  <c r="Q104" i="1" l="1"/>
  <c r="S97" i="1"/>
  <c r="C8" i="24"/>
  <c r="D44" i="29"/>
  <c r="D45" i="29" s="1"/>
  <c r="D32" i="29"/>
  <c r="D33" i="29" s="1"/>
  <c r="D38" i="29" s="1"/>
  <c r="D36" i="29" s="1"/>
  <c r="R97" i="1" l="1"/>
  <c r="I58" i="29"/>
  <c r="N58" i="29"/>
  <c r="N57" i="29"/>
  <c r="I57" i="29"/>
  <c r="D56" i="29"/>
  <c r="P104" i="1"/>
  <c r="AF104" i="1" l="1"/>
  <c r="AE104" i="1"/>
  <c r="AG104" i="1"/>
  <c r="AL155" i="1"/>
  <c r="AH155" i="1"/>
  <c r="AL154" i="1"/>
  <c r="AH154" i="1"/>
  <c r="AL153" i="1"/>
  <c r="AH153" i="1"/>
  <c r="AL152" i="1"/>
  <c r="AH152" i="1"/>
  <c r="AL150" i="1"/>
  <c r="AL143" i="1"/>
  <c r="AL144" i="1"/>
  <c r="AL145" i="1"/>
  <c r="AL146" i="1"/>
  <c r="AL147" i="1"/>
  <c r="AH144" i="1"/>
  <c r="AH146" i="1"/>
  <c r="AH147" i="1"/>
  <c r="AL142" i="1"/>
  <c r="AI137" i="1"/>
  <c r="AE137" i="1"/>
  <c r="AI133" i="1"/>
  <c r="AL127" i="1"/>
  <c r="AG136" i="1"/>
  <c r="AF136" i="1"/>
  <c r="AE136" i="1"/>
  <c r="AG131" i="1"/>
  <c r="AF131" i="1"/>
  <c r="AE131" i="1"/>
  <c r="AG126" i="1"/>
  <c r="AF126" i="1"/>
  <c r="AE126" i="1"/>
  <c r="AK122" i="1"/>
  <c r="AJ122" i="1"/>
  <c r="AJ136" i="1" s="1"/>
  <c r="AI122" i="1"/>
  <c r="AI121" i="1"/>
  <c r="AJ120" i="1"/>
  <c r="AI118" i="1"/>
  <c r="AI117" i="1"/>
  <c r="AI116" i="1"/>
  <c r="AI115" i="1"/>
  <c r="AI114" i="1"/>
  <c r="AI112" i="1"/>
  <c r="AI110" i="1"/>
  <c r="AE114" i="1"/>
  <c r="AJ106" i="1"/>
  <c r="AJ91" i="1"/>
  <c r="AK91" i="1"/>
  <c r="AI91" i="1"/>
  <c r="AI76" i="1"/>
  <c r="AI74" i="1"/>
  <c r="AI73" i="1"/>
  <c r="AI71" i="1"/>
  <c r="AI70" i="1"/>
  <c r="AI69" i="1"/>
  <c r="AI66" i="1"/>
  <c r="AI65" i="1"/>
  <c r="AJ64" i="1"/>
  <c r="AJ63" i="1"/>
  <c r="AI62" i="1"/>
  <c r="AI60" i="1"/>
  <c r="AE66" i="1"/>
  <c r="AE65" i="1"/>
  <c r="AG64" i="1"/>
  <c r="AG63" i="1"/>
  <c r="AE62" i="1"/>
  <c r="AE60" i="1"/>
  <c r="AK32" i="1"/>
  <c r="AI55" i="1"/>
  <c r="AI53" i="1"/>
  <c r="AE55" i="1"/>
  <c r="AE53" i="1"/>
  <c r="AK58" i="1"/>
  <c r="AG58" i="1"/>
  <c r="AJ51" i="1"/>
  <c r="AF51" i="1"/>
  <c r="AF43" i="1"/>
  <c r="AI48" i="1"/>
  <c r="AI47" i="1"/>
  <c r="AI46" i="1"/>
  <c r="AE47" i="1"/>
  <c r="AE48" i="1"/>
  <c r="AE46" i="1"/>
  <c r="AJ37" i="1"/>
  <c r="AJ39" i="1"/>
  <c r="AJ40" i="1"/>
  <c r="AJ41" i="1"/>
  <c r="AJ42" i="1"/>
  <c r="AJ43" i="1"/>
  <c r="AF37" i="1"/>
  <c r="AF39" i="1"/>
  <c r="AF40" i="1"/>
  <c r="AF41" i="1"/>
  <c r="AF42" i="1"/>
  <c r="AF35" i="1"/>
  <c r="AJ35" i="1"/>
  <c r="AI3" i="1"/>
  <c r="AE3" i="1"/>
  <c r="C70" i="20"/>
  <c r="E70" i="20"/>
  <c r="F70" i="20"/>
  <c r="J70" i="20"/>
  <c r="K70" i="20"/>
  <c r="V77" i="1"/>
  <c r="U77" i="1"/>
  <c r="Q77" i="1"/>
  <c r="P77" i="1"/>
  <c r="W75" i="1"/>
  <c r="S75" i="1"/>
  <c r="R75" i="1"/>
  <c r="C12" i="24"/>
  <c r="R112" i="1"/>
  <c r="W117" i="1"/>
  <c r="W112" i="1"/>
  <c r="E44" i="22"/>
  <c r="E46" i="22" s="1"/>
  <c r="E49" i="22" s="1"/>
  <c r="E35" i="22"/>
  <c r="E36" i="22"/>
  <c r="E19" i="22"/>
  <c r="E14" i="22"/>
  <c r="C100" i="20"/>
  <c r="E100" i="20"/>
  <c r="F100" i="20"/>
  <c r="H100" i="20" s="1"/>
  <c r="J100" i="20"/>
  <c r="K100" i="20"/>
  <c r="L100" i="20" s="1"/>
  <c r="P124" i="1"/>
  <c r="G58" i="21"/>
  <c r="E16" i="22" l="1"/>
  <c r="E21" i="22"/>
  <c r="AH124" i="1"/>
  <c r="AG124" i="1"/>
  <c r="AF124" i="1"/>
  <c r="AE124" i="1"/>
  <c r="AI132" i="1"/>
  <c r="AK134" i="1"/>
  <c r="H70" i="20"/>
  <c r="L70" i="20"/>
  <c r="G70" i="20"/>
  <c r="G100" i="20"/>
  <c r="AI131" i="1"/>
  <c r="R99" i="1"/>
  <c r="R104" i="1" s="1"/>
  <c r="S99" i="1"/>
  <c r="AJ134" i="1"/>
  <c r="AJ124" i="1"/>
  <c r="AJ131" i="1"/>
  <c r="AI124" i="1"/>
  <c r="AI136" i="1"/>
  <c r="AI134" i="1"/>
  <c r="E52" i="22"/>
  <c r="AK126" i="1"/>
  <c r="AK132" i="1"/>
  <c r="AJ135" i="1"/>
  <c r="AK135" i="1"/>
  <c r="AJ126" i="1"/>
  <c r="AJ132" i="1"/>
  <c r="AI135" i="1"/>
  <c r="AK136" i="1"/>
  <c r="AK124" i="1"/>
  <c r="AI126" i="1"/>
  <c r="AK131" i="1"/>
  <c r="AE112" i="1"/>
  <c r="S112" i="1"/>
  <c r="E20" i="22"/>
  <c r="E68" i="22"/>
  <c r="E70" i="22" s="1"/>
  <c r="E73" i="22" s="1"/>
  <c r="AE133"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E28" i="22" l="1"/>
  <c r="E22" i="22"/>
  <c r="E53" i="22"/>
  <c r="E60" i="22"/>
  <c r="E27" i="22"/>
  <c r="E29" i="22" s="1"/>
  <c r="E55" i="22"/>
  <c r="E57" i="22" s="1"/>
  <c r="S117" i="1"/>
  <c r="AE116" i="1"/>
  <c r="S104" i="1"/>
  <c r="AE117" i="1"/>
  <c r="R90" i="1"/>
  <c r="S90" i="1"/>
  <c r="E31" i="21"/>
  <c r="D31" i="21"/>
  <c r="D49" i="21" s="1"/>
  <c r="D6" i="21"/>
  <c r="D9" i="21"/>
  <c r="D14" i="21"/>
  <c r="C14" i="21"/>
  <c r="F14" i="21"/>
  <c r="F22" i="21"/>
  <c r="F24" i="21" s="1"/>
  <c r="F26" i="21" s="1"/>
  <c r="G36" i="21"/>
  <c r="C9" i="21"/>
  <c r="C22" i="21" s="1"/>
  <c r="C24" i="21" s="1"/>
  <c r="C26" i="21" s="1"/>
  <c r="B6" i="21"/>
  <c r="AF120" i="1"/>
  <c r="AH150" i="1"/>
  <c r="AH145" i="1"/>
  <c r="AH143" i="1"/>
  <c r="AH142" i="1"/>
  <c r="Q134" i="1"/>
  <c r="M121" i="1"/>
  <c r="N121" i="1" s="1"/>
  <c r="O121" i="1" s="1"/>
  <c r="W161" i="1"/>
  <c r="S161" i="1"/>
  <c r="R161" i="1"/>
  <c r="L124" i="1"/>
  <c r="W126" i="1"/>
  <c r="S126" i="1"/>
  <c r="R126" i="1"/>
  <c r="R117" i="1" l="1"/>
  <c r="AE115" i="1"/>
  <c r="E75" i="22"/>
  <c r="G76" i="22" s="1"/>
  <c r="G77" i="22" s="1"/>
  <c r="D36" i="21"/>
  <c r="H18" i="21"/>
  <c r="H19" i="21" s="1"/>
  <c r="F31" i="21"/>
  <c r="F48" i="21"/>
  <c r="E36" i="21"/>
  <c r="E49" i="21"/>
  <c r="C31" i="21"/>
  <c r="C48" i="21"/>
  <c r="B7" i="21"/>
  <c r="S124" i="1"/>
  <c r="K103" i="20"/>
  <c r="J103" i="20"/>
  <c r="F103" i="20"/>
  <c r="E103" i="20"/>
  <c r="E76" i="22" l="1"/>
  <c r="E77" i="22" s="1"/>
  <c r="G103" i="20"/>
  <c r="L103" i="20"/>
  <c r="H47" i="21"/>
  <c r="H50" i="21" s="1"/>
  <c r="G4" i="21"/>
  <c r="G7" i="21" s="1"/>
  <c r="G11" i="21" s="1"/>
  <c r="I11" i="21" s="1"/>
  <c r="I12" i="21" s="1"/>
  <c r="C4" i="21"/>
  <c r="C7" i="21" s="1"/>
  <c r="D4" i="21"/>
  <c r="D7" i="21" s="1"/>
  <c r="D11" i="21" s="1"/>
  <c r="C36" i="21"/>
  <c r="C49" i="21"/>
  <c r="F36" i="21"/>
  <c r="F49" i="21"/>
  <c r="H103" i="20"/>
  <c r="R124"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4"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4" i="1"/>
  <c r="S164" i="1"/>
  <c r="W86" i="1"/>
  <c r="S87" i="1"/>
  <c r="W85" i="1"/>
  <c r="S85" i="1"/>
  <c r="R85" i="1"/>
  <c r="L61" i="21" l="1"/>
  <c r="H78" i="20"/>
  <c r="M61" i="21"/>
  <c r="P61" i="21"/>
  <c r="O61" i="21"/>
  <c r="I38" i="21"/>
  <c r="I61" i="21"/>
  <c r="G35" i="21"/>
  <c r="G37" i="21" s="1"/>
  <c r="G40" i="21" s="1"/>
  <c r="W87" i="1"/>
  <c r="R164" i="1"/>
  <c r="R87" i="1"/>
  <c r="M62" i="21" l="1"/>
  <c r="M63" i="21" s="1"/>
  <c r="P62" i="21"/>
  <c r="P63" i="21" s="1"/>
  <c r="G61" i="21"/>
  <c r="G38" i="21"/>
  <c r="L129" i="1"/>
  <c r="Y129" i="1" s="1"/>
  <c r="L128" i="1"/>
  <c r="L127" i="1"/>
  <c r="P127" i="1"/>
  <c r="L106" i="1"/>
  <c r="F106" i="1"/>
  <c r="G83" i="1" l="1"/>
  <c r="Y106" i="1"/>
  <c r="C11" i="24"/>
  <c r="I62" i="21"/>
  <c r="I63" i="21" s="1"/>
  <c r="Y128" i="1"/>
  <c r="C13" i="24"/>
  <c r="AF106" i="1"/>
  <c r="M77" i="1"/>
  <c r="I77" i="1"/>
  <c r="E77" i="1"/>
  <c r="Y4" i="1"/>
  <c r="U2" i="1"/>
  <c r="R3" i="1"/>
  <c r="Q3" i="1"/>
  <c r="H4" i="36" s="1"/>
  <c r="P3" i="1"/>
  <c r="H16" i="36" l="1"/>
  <c r="H34" i="36"/>
  <c r="G4" i="36"/>
  <c r="F4" i="36"/>
  <c r="AH127" i="1"/>
  <c r="W116" i="1"/>
  <c r="S116" i="1"/>
  <c r="G34" i="36" l="1"/>
  <c r="G16" i="36"/>
  <c r="F34" i="36"/>
  <c r="F16" i="36"/>
  <c r="AG134" i="1"/>
  <c r="AF134" i="1"/>
  <c r="AE134" i="1"/>
  <c r="R116" i="1"/>
  <c r="S134" i="1" l="1"/>
  <c r="R134"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AE121" i="1"/>
  <c r="AE118" i="1"/>
  <c r="AE110" i="1"/>
  <c r="G84" i="1" l="1"/>
  <c r="G85" i="1" s="1"/>
  <c r="W160" i="1"/>
  <c r="Q166" i="1" l="1"/>
  <c r="K99" i="20" l="1"/>
  <c r="J99" i="20"/>
  <c r="F99" i="20"/>
  <c r="S160" i="1"/>
  <c r="E99" i="20" l="1"/>
  <c r="G99" i="20" s="1"/>
  <c r="R160" i="1"/>
  <c r="Q148" i="1" l="1"/>
  <c r="Q157" i="1"/>
  <c r="Q122" i="1"/>
  <c r="F75" i="20" s="1"/>
  <c r="Q67" i="1"/>
  <c r="Q56" i="1"/>
  <c r="Q49" i="1"/>
  <c r="Q158" i="1" l="1"/>
  <c r="D11" i="35" s="1"/>
  <c r="J3" i="20"/>
  <c r="Q138" i="1" l="1"/>
  <c r="K11" i="20"/>
  <c r="K12" i="20"/>
  <c r="J11" i="20"/>
  <c r="J12" i="20"/>
  <c r="E61" i="20"/>
  <c r="F61" i="20"/>
  <c r="J61" i="20"/>
  <c r="K61" i="20"/>
  <c r="G61" i="20" l="1"/>
  <c r="H61" i="20"/>
  <c r="L61" i="20"/>
  <c r="W65" i="1"/>
  <c r="S65" i="1"/>
  <c r="R65" i="1" l="1"/>
  <c r="E40" i="20" l="1"/>
  <c r="F40" i="20"/>
  <c r="J40" i="20"/>
  <c r="K40" i="20"/>
  <c r="G40" i="20" l="1"/>
  <c r="L40" i="20"/>
  <c r="H40" i="20"/>
  <c r="R165" i="1"/>
  <c r="R163" i="1"/>
  <c r="R162" i="1"/>
  <c r="R156" i="1"/>
  <c r="R155" i="1"/>
  <c r="R154" i="1"/>
  <c r="R153" i="1"/>
  <c r="R152" i="1"/>
  <c r="R150" i="1"/>
  <c r="R147" i="1"/>
  <c r="R146" i="1"/>
  <c r="R145" i="1"/>
  <c r="R144" i="1"/>
  <c r="R143" i="1"/>
  <c r="R142" i="1"/>
  <c r="R137" i="1"/>
  <c r="R133" i="1"/>
  <c r="R131" i="1"/>
  <c r="R121" i="1"/>
  <c r="R120" i="1"/>
  <c r="R114" i="1"/>
  <c r="R110" i="1"/>
  <c r="R106" i="1"/>
  <c r="R108" i="1" s="1"/>
  <c r="R91" i="1"/>
  <c r="R89" i="1"/>
  <c r="R83" i="1"/>
  <c r="R71" i="1"/>
  <c r="R70" i="1"/>
  <c r="R69" i="1"/>
  <c r="R64" i="1"/>
  <c r="R63" i="1"/>
  <c r="R58" i="1"/>
  <c r="R55" i="1"/>
  <c r="R53" i="1"/>
  <c r="R51" i="1"/>
  <c r="R47" i="1"/>
  <c r="R46" i="1"/>
  <c r="R42" i="1"/>
  <c r="R41" i="1"/>
  <c r="R40" i="1"/>
  <c r="R39" i="1"/>
  <c r="R37" i="1"/>
  <c r="R148" i="1" l="1"/>
  <c r="R157" i="1"/>
  <c r="R56" i="1"/>
  <c r="R166" i="1"/>
  <c r="R158"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2" i="1"/>
  <c r="AE132" i="1" l="1"/>
  <c r="AF132" i="1"/>
  <c r="AG132" i="1"/>
  <c r="F71" i="20"/>
  <c r="R132"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3" i="1"/>
  <c r="S133" i="1"/>
  <c r="H96" i="20" l="1"/>
  <c r="E16" i="20" l="1"/>
  <c r="R16" i="1"/>
  <c r="H16" i="20" l="1"/>
  <c r="G16" i="20"/>
  <c r="R127" i="1"/>
  <c r="R118" i="1" l="1"/>
  <c r="R115" i="1"/>
  <c r="R122" i="1" l="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5" i="1" l="1"/>
  <c r="S163" i="1"/>
  <c r="S162" i="1"/>
  <c r="S156" i="1"/>
  <c r="S155" i="1"/>
  <c r="S154" i="1"/>
  <c r="S153" i="1"/>
  <c r="S152" i="1"/>
  <c r="S150" i="1"/>
  <c r="S147" i="1"/>
  <c r="S146" i="1"/>
  <c r="S145" i="1"/>
  <c r="S144" i="1"/>
  <c r="S143" i="1"/>
  <c r="S142" i="1"/>
  <c r="S137" i="1"/>
  <c r="S132" i="1"/>
  <c r="S131" i="1"/>
  <c r="S127" i="1"/>
  <c r="S121" i="1"/>
  <c r="S115" i="1"/>
  <c r="S114" i="1"/>
  <c r="S110" i="1"/>
  <c r="S106" i="1"/>
  <c r="S91" i="1"/>
  <c r="S83" i="1"/>
  <c r="S74" i="1"/>
  <c r="S73" i="1"/>
  <c r="S71" i="1"/>
  <c r="S70" i="1"/>
  <c r="S69" i="1"/>
  <c r="S66" i="1"/>
  <c r="S64" i="1"/>
  <c r="S63" i="1"/>
  <c r="S61" i="1"/>
  <c r="S60" i="1"/>
  <c r="S58" i="1"/>
  <c r="S48" i="1"/>
  <c r="S47" i="1"/>
  <c r="S46" i="1"/>
  <c r="S43" i="1"/>
  <c r="S41" i="1"/>
  <c r="S40" i="1"/>
  <c r="S39" i="1"/>
  <c r="S37" i="1"/>
  <c r="S16" i="1"/>
  <c r="W7" i="1"/>
  <c r="W165" i="1"/>
  <c r="W162" i="1"/>
  <c r="W156" i="1"/>
  <c r="W155" i="1"/>
  <c r="W154" i="1"/>
  <c r="W153" i="1"/>
  <c r="W152" i="1"/>
  <c r="W150" i="1"/>
  <c r="W147" i="1"/>
  <c r="W146" i="1"/>
  <c r="W145" i="1"/>
  <c r="W144" i="1"/>
  <c r="W143" i="1"/>
  <c r="W142" i="1"/>
  <c r="W137" i="1"/>
  <c r="W136" i="1"/>
  <c r="W135" i="1"/>
  <c r="W132" i="1"/>
  <c r="W131" i="1"/>
  <c r="W127" i="1"/>
  <c r="W121" i="1"/>
  <c r="W115" i="1"/>
  <c r="W114" i="1"/>
  <c r="W110"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38" i="1"/>
  <c r="V148" i="1"/>
  <c r="V157" i="1"/>
  <c r="V166" i="1"/>
  <c r="U166" i="1"/>
  <c r="U157" i="1"/>
  <c r="U148" i="1"/>
  <c r="U138" i="1"/>
  <c r="U122" i="1"/>
  <c r="U92" i="1"/>
  <c r="U67" i="1"/>
  <c r="U49" i="1"/>
  <c r="U44" i="1"/>
  <c r="U19" i="1"/>
  <c r="U14" i="1"/>
  <c r="P166" i="1"/>
  <c r="P157" i="1"/>
  <c r="P148" i="1"/>
  <c r="P67" i="1"/>
  <c r="P49" i="1"/>
  <c r="J75" i="20" l="1"/>
  <c r="J79" i="20" s="1"/>
  <c r="J107" i="20" s="1"/>
  <c r="J108" i="20" s="1"/>
  <c r="U139" i="1"/>
  <c r="C10" i="35" s="1"/>
  <c r="AJ92" i="1"/>
  <c r="AJ168" i="1" s="1"/>
  <c r="AI92" i="1"/>
  <c r="AI168" i="1" s="1"/>
  <c r="AK92" i="1"/>
  <c r="AK168" i="1" s="1"/>
  <c r="V78" i="1"/>
  <c r="U78" i="1"/>
  <c r="C9" i="35" s="1"/>
  <c r="S67" i="1"/>
  <c r="S108" i="1"/>
  <c r="U20" i="1"/>
  <c r="S166" i="1"/>
  <c r="S157" i="1"/>
  <c r="W108" i="1"/>
  <c r="W67" i="1"/>
  <c r="W19" i="1"/>
  <c r="S49" i="1"/>
  <c r="W49" i="1"/>
  <c r="W138" i="1"/>
  <c r="W14" i="1"/>
  <c r="S148" i="1"/>
  <c r="W148" i="1"/>
  <c r="W157" i="1"/>
  <c r="W77" i="1"/>
  <c r="W44" i="1"/>
  <c r="V158" i="1"/>
  <c r="V20" i="1"/>
  <c r="V171" i="1" s="1"/>
  <c r="U158" i="1"/>
  <c r="C11" i="35" s="1"/>
  <c r="P158" i="1"/>
  <c r="B11" i="35" s="1"/>
  <c r="C5" i="35" l="1"/>
  <c r="C12" i="35"/>
  <c r="U171" i="1"/>
  <c r="W171" i="1" s="1"/>
  <c r="W20" i="1"/>
  <c r="S158" i="1"/>
  <c r="W78" i="1"/>
  <c r="W158" i="1"/>
  <c r="C14" i="35" l="1"/>
  <c r="C23" i="35" s="1"/>
  <c r="J111" i="20"/>
  <c r="J112" i="20" s="1"/>
  <c r="F5" i="34" s="1"/>
  <c r="F7" i="34" s="1"/>
  <c r="F12" i="34" s="1"/>
  <c r="F14" i="34" l="1"/>
  <c r="J12" i="34"/>
  <c r="V92" i="1" l="1"/>
  <c r="W81" i="1"/>
  <c r="AL92" i="1" l="1"/>
  <c r="AL168" i="1" s="1"/>
  <c r="W92" i="1"/>
  <c r="S120" i="1" l="1"/>
  <c r="S118" i="1"/>
  <c r="P122" i="1"/>
  <c r="R135" i="1" s="1"/>
  <c r="E76" i="20" l="1"/>
  <c r="E75" i="20"/>
  <c r="S122" i="1"/>
  <c r="AF135" i="1" l="1"/>
  <c r="AG135" i="1"/>
  <c r="AE135" i="1"/>
  <c r="W120" i="1"/>
  <c r="R136" i="1" l="1"/>
  <c r="S136" i="1"/>
  <c r="V122" i="1"/>
  <c r="W118" i="1"/>
  <c r="V139" i="1" l="1"/>
  <c r="K75" i="20"/>
  <c r="K79" i="20" s="1"/>
  <c r="L78" i="20"/>
  <c r="W122"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5" i="1" l="1"/>
  <c r="R138" i="1"/>
  <c r="P138" i="1"/>
  <c r="S138" i="1" l="1"/>
  <c r="U168" i="1" l="1"/>
  <c r="U172" i="1" l="1"/>
  <c r="U173" i="1" s="1"/>
  <c r="U169" i="1"/>
  <c r="V168" i="1" l="1"/>
  <c r="W168" i="1" s="1"/>
  <c r="W139" i="1"/>
  <c r="V172" i="1" l="1"/>
  <c r="W172" i="1" s="1"/>
  <c r="V169" i="1"/>
  <c r="V173"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Q171" i="1"/>
  <c r="R17" i="1"/>
  <c r="B5" i="35" l="1"/>
  <c r="C32" i="1"/>
  <c r="C32" i="20" s="1"/>
  <c r="F110" i="20"/>
  <c r="E19" i="20"/>
  <c r="E20" i="20" s="1"/>
  <c r="E110" i="20" s="1"/>
  <c r="G19" i="20"/>
  <c r="G20" i="20" s="1"/>
  <c r="G110" i="20" s="1"/>
  <c r="R19" i="1"/>
  <c r="R20" i="1" s="1"/>
  <c r="P171" i="1"/>
  <c r="S19" i="1"/>
  <c r="S20" i="1"/>
  <c r="H20" i="20" l="1"/>
  <c r="H19" i="20"/>
  <c r="H110" i="20"/>
  <c r="R171" i="1"/>
  <c r="S171" i="1"/>
  <c r="G32" i="20" l="1"/>
  <c r="AG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K18" i="21" l="1"/>
  <c r="K19" i="21" l="1"/>
  <c r="K34" i="21" l="1"/>
  <c r="K35" i="21" s="1"/>
  <c r="K37" i="21" s="1"/>
  <c r="K40" i="21"/>
  <c r="K47" i="21"/>
  <c r="K50" i="21" s="1"/>
  <c r="K51" i="21" s="1"/>
  <c r="K61" i="21" l="1"/>
  <c r="L62" i="21" s="1"/>
  <c r="L63" i="21" s="1"/>
  <c r="K38" i="21"/>
  <c r="K62" i="21" l="1"/>
  <c r="K63" i="21" s="1"/>
  <c r="R62" i="21"/>
  <c r="R63" i="21" s="1"/>
  <c r="S7" i="21" l="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U18" i="21"/>
  <c r="U19" i="21" s="1"/>
  <c r="S40" i="21"/>
  <c r="S34" i="21"/>
  <c r="S35" i="21" s="1"/>
  <c r="S37" i="21" s="1"/>
  <c r="S38" i="21" s="1"/>
  <c r="S47" i="21"/>
  <c r="S50" i="21" s="1"/>
  <c r="S51" i="21" s="1"/>
  <c r="V40" i="21"/>
  <c r="V34" i="21"/>
  <c r="V35" i="21" s="1"/>
  <c r="V37" i="21" s="1"/>
  <c r="V38" i="21" s="1"/>
  <c r="V47" i="21"/>
  <c r="V50" i="21" s="1"/>
  <c r="V51" i="21" s="1"/>
  <c r="Q18" i="21" l="1"/>
  <c r="Q81" i="1"/>
  <c r="V61" i="21"/>
  <c r="V62" i="21" s="1"/>
  <c r="V63" i="21" s="1"/>
  <c r="S61" i="21"/>
  <c r="S62" i="21" s="1"/>
  <c r="S63" i="21" s="1"/>
  <c r="T61" i="21"/>
  <c r="T62" i="21" s="1"/>
  <c r="T63" i="21" s="1"/>
  <c r="U47" i="21"/>
  <c r="U50" i="21" s="1"/>
  <c r="U51" i="21" s="1"/>
  <c r="U40" i="21"/>
  <c r="U34" i="21"/>
  <c r="U35" i="21" s="1"/>
  <c r="U37" i="21" s="1"/>
  <c r="U38" i="21" s="1"/>
  <c r="Q19" i="21"/>
  <c r="D5" i="24" l="1"/>
  <c r="Q84" i="1"/>
  <c r="U61" i="21"/>
  <c r="U62" i="21" s="1"/>
  <c r="U63" i="21" s="1"/>
  <c r="Q34" i="21"/>
  <c r="Q35" i="21" s="1"/>
  <c r="Q37" i="21" s="1"/>
  <c r="Q38" i="21" s="1"/>
  <c r="Q47" i="21"/>
  <c r="Q50" i="21" s="1"/>
  <c r="Q51" i="21" s="1"/>
  <c r="C5" i="24"/>
  <c r="S81" i="1"/>
  <c r="R81" i="1"/>
  <c r="Q40" i="21"/>
  <c r="G75" i="20" l="1"/>
  <c r="Q86" i="1"/>
  <c r="R86" i="1" s="1"/>
  <c r="R84" i="1"/>
  <c r="S84" i="1"/>
  <c r="P92" i="1"/>
  <c r="Q88" i="1"/>
  <c r="Q61" i="21"/>
  <c r="Q62" i="21" s="1"/>
  <c r="Q63" i="21" s="1"/>
  <c r="H75" i="20"/>
  <c r="S86" i="1" l="1"/>
  <c r="F79" i="20"/>
  <c r="F107" i="20" s="1"/>
  <c r="F111" i="20" s="1"/>
  <c r="F112" i="20" s="1"/>
  <c r="C6" i="24"/>
  <c r="Q92" i="1"/>
  <c r="Q139" i="1" s="1"/>
  <c r="D10" i="35" s="1"/>
  <c r="D12" i="35" s="1"/>
  <c r="D14" i="35" s="1"/>
  <c r="D23" i="35" s="1"/>
  <c r="R88" i="1"/>
  <c r="R92" i="1" s="1"/>
  <c r="R139" i="1" s="1"/>
  <c r="R168" i="1" s="1"/>
  <c r="R169" i="1" s="1"/>
  <c r="S88" i="1"/>
  <c r="AH92" i="1"/>
  <c r="AH168" i="1" s="1"/>
  <c r="AF92" i="1"/>
  <c r="AF168" i="1" s="1"/>
  <c r="P139" i="1"/>
  <c r="AE92" i="1"/>
  <c r="AE168" i="1" s="1"/>
  <c r="AG92" i="1"/>
  <c r="AG168" i="1" s="1"/>
  <c r="F108" i="20" l="1"/>
  <c r="G76" i="20"/>
  <c r="S92" i="1"/>
  <c r="E79" i="20"/>
  <c r="H79" i="20" s="1"/>
  <c r="H76" i="20"/>
  <c r="Q168" i="1"/>
  <c r="Q172" i="1" s="1"/>
  <c r="Q173" i="1" s="1"/>
  <c r="S139" i="1"/>
  <c r="P168" i="1"/>
  <c r="B10" i="35"/>
  <c r="B12" i="35" s="1"/>
  <c r="B14" i="35" s="1"/>
  <c r="B23" i="35" s="1"/>
  <c r="E107" i="20" l="1"/>
  <c r="H107" i="20" s="1"/>
  <c r="G79" i="20"/>
  <c r="G107" i="20" s="1"/>
  <c r="G108" i="20" s="1"/>
  <c r="Q169" i="1"/>
  <c r="S168" i="1"/>
  <c r="P169" i="1"/>
  <c r="P172" i="1"/>
  <c r="AE169" i="1"/>
  <c r="E111" i="20" l="1"/>
  <c r="E108" i="20"/>
  <c r="H108" i="20" s="1"/>
  <c r="S169" i="1"/>
  <c r="G111" i="20"/>
  <c r="G112" i="20" s="1"/>
  <c r="E112" i="20"/>
  <c r="H111" i="20"/>
  <c r="P173" i="1"/>
  <c r="S172" i="1"/>
  <c r="R172" i="1"/>
  <c r="H5" i="34" l="1"/>
  <c r="H7" i="34" s="1"/>
  <c r="S173" i="1"/>
  <c r="R173"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3.xml><?xml version="1.0" encoding="utf-8"?>
<comments xmlns="http://schemas.openxmlformats.org/spreadsheetml/2006/main">
  <authors>
    <author>Dawn Jacobson</author>
  </authors>
  <commentList>
    <comment ref="B48" authorId="0">
      <text>
        <r>
          <rPr>
            <b/>
            <sz val="9"/>
            <color indexed="81"/>
            <rFont val="Tahoma"/>
            <family val="2"/>
          </rPr>
          <t>Dawn Jacobson:</t>
        </r>
        <r>
          <rPr>
            <sz val="9"/>
            <color indexed="81"/>
            <rFont val="Tahoma"/>
            <family val="2"/>
          </rPr>
          <t xml:space="preserve">
Don't Include (Comp Package assumed all was income nothing to Pension)</t>
        </r>
      </text>
    </comment>
    <comment ref="C48"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5.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sharedStrings.xml><?xml version="1.0" encoding="utf-8"?>
<sst xmlns="http://schemas.openxmlformats.org/spreadsheetml/2006/main" count="1223" uniqueCount="740">
  <si>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</si>
  <si>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</si>
  <si>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</si>
  <si>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</si>
  <si>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</si>
  <si>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</si>
  <si>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</si>
  <si>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</si>
  <si>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</si>
  <si>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</si>
  <si>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</si>
  <si>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</si>
  <si>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</si>
  <si>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</si>
  <si>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</si>
  <si>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</si>
  <si>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</si>
  <si>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</si>
  <si>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</si>
  <si>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</si>
  <si>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</si>
  <si>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</si>
  <si>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</si>
  <si>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</si>
  <si>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</si>
  <si>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</si>
  <si>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</si>
  <si>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</si>
  <si>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</si>
  <si>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</si>
  <si>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</si>
  <si>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</si>
  <si>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</si>
  <si>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</si>
  <si>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</si>
  <si>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</si>
  <si>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</si>
  <si>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</si>
  <si>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</si>
  <si>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</si>
  <si>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</si>
  <si>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</si>
  <si>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</si>
  <si>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</si>
  <si>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</si>
  <si>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</si>
  <si>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</si>
  <si>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</si>
  <si>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</si>
  <si>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</si>
  <si>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</si>
  <si>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</si>
  <si>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</si>
  <si>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</si>
  <si>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</si>
  <si>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</si>
  <si>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</si>
  <si>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</si>
  <si>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</si>
  <si>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</si>
  <si>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</si>
  <si>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</si>
  <si>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</si>
  <si>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</si>
  <si>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</si>
  <si>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</si>
  <si>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</si>
  <si>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</si>
  <si>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</si>
  <si>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</si>
  <si>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</si>
  <si>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</si>
  <si>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</si>
  <si>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</si>
  <si>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</si>
  <si>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</si>
  <si>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</si>
  <si>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</si>
  <si>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</si>
  <si>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</si>
  <si>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</si>
  <si>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</si>
  <si>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</si>
  <si>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</si>
  <si>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</si>
  <si>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</si>
  <si>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</si>
  <si>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</si>
  <si>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</si>
  <si>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</si>
  <si>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</si>
  <si>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</si>
  <si>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</si>
  <si>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</si>
  <si>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</si>
  <si>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</si>
  <si>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</si>
  <si>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</si>
  <si>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</si>
  <si>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</si>
  <si>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</si>
  <si>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</si>
  <si>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</si>
  <si>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</si>
  <si>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</si>
  <si>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</si>
  <si>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</si>
  <si>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</si>
  <si>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</si>
  <si>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</si>
  <si>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</si>
  <si>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</si>
  <si>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</si>
  <si>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</si>
  <si>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</si>
  <si>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</si>
  <si>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</si>
  <si>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</si>
  <si>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</si>
  <si>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</si>
  <si>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</si>
  <si>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</si>
  <si>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</si>
  <si>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</si>
  <si>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</si>
  <si>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</si>
  <si>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</si>
  <si>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</si>
  <si>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</si>
  <si>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</si>
  <si>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</si>
  <si>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</si>
  <si>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</si>
  <si>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</si>
  <si>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</si>
  <si>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</si>
  <si>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</si>
  <si>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</si>
  <si>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</si>
  <si>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</si>
  <si>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</si>
  <si>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</si>
  <si>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</si>
  <si>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</si>
  <si>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</si>
  <si>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</si>
  <si>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</si>
  <si>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</si>
  <si>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</si>
  <si>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</si>
  <si>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</si>
  <si>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</si>
  <si>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</si>
  <si>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</si>
  <si>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</si>
  <si>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</si>
  <si>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</si>
  <si>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</si>
  <si>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</si>
  <si>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</si>
  <si>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</si>
  <si>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</si>
  <si>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</si>
  <si>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</si>
  <si>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</si>
  <si>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</si>
  <si>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</si>
  <si>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</si>
  <si>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</si>
  <si>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</si>
  <si>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</si>
  <si>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</si>
  <si>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</si>
  <si>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</si>
  <si>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</si>
  <si>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</si>
  <si>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</si>
  <si>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</si>
  <si>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</si>
  <si>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</si>
  <si>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</si>
  <si>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</si>
  <si>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</si>
  <si>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</si>
  <si>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</si>
  <si>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</si>
  <si>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</si>
  <si>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</si>
  <si>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</si>
  <si>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</si>
  <si>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</si>
  <si>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</si>
  <si>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</si>
  <si>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</si>
  <si>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</si>
  <si>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</si>
  <si>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</si>
  <si>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</si>
  <si>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</si>
  <si>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</si>
  <si>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</si>
  <si>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</si>
  <si>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</si>
  <si>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</si>
  <si>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</si>
  <si>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</si>
  <si>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</si>
  <si>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</si>
  <si>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</si>
  <si>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</si>
  <si>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</si>
  <si>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</si>
  <si>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</si>
  <si>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</si>
  <si>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</si>
  <si>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</si>
  <si>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</si>
  <si>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</si>
  <si>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</si>
  <si>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</si>
  <si>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</si>
  <si>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</si>
  <si>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</si>
  <si>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</si>
  <si>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</si>
  <si>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</si>
  <si>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</si>
  <si>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</si>
  <si>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</si>
  <si>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</si>
  <si>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</si>
  <si>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</si>
  <si>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</si>
  <si>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</si>
  <si>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</si>
  <si>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</si>
  <si>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Play All Lent Wednesdays</t>
  </si>
  <si>
    <t>Total Practice Pay</t>
  </si>
  <si>
    <t xml:space="preserve">    Pay per Practice per Person</t>
  </si>
  <si>
    <t>Per Person</t>
  </si>
  <si>
    <t>Dollars</t>
  </si>
  <si>
    <t>REVELATION BAND ESTIMATE:</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</si>
  <si>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</si>
  <si>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</si>
  <si>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</si>
  <si>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</si>
  <si>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</si>
  <si>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</si>
  <si>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</si>
  <si>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</si>
  <si>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</si>
  <si>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</si>
  <si>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</si>
  <si>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</si>
  <si>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</si>
  <si>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</si>
  <si>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</si>
  <si>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</si>
  <si>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</si>
  <si>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</si>
  <si>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</si>
  <si>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</si>
  <si>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</si>
  <si>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</si>
  <si>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</si>
  <si>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</si>
  <si>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</si>
  <si>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</si>
  <si>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</si>
  <si>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</si>
  <si>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</si>
  <si>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</si>
  <si>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</si>
  <si>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</si>
  <si>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</si>
  <si>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</si>
  <si>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</si>
  <si>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</si>
  <si>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</si>
  <si>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Christmas</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</si>
  <si>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</si>
  <si>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</si>
  <si>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</si>
  <si>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</si>
  <si>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</si>
  <si>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</si>
  <si>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</si>
  <si>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</si>
  <si>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</si>
  <si>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</si>
  <si>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</si>
  <si>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</si>
  <si>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</si>
  <si>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</si>
  <si>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</si>
  <si>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</si>
  <si>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</si>
  <si>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</si>
  <si>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</si>
  <si>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</si>
  <si>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</si>
  <si>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</si>
  <si>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</si>
  <si>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</si>
  <si>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</si>
  <si>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</si>
  <si>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</si>
  <si>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</si>
  <si>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</si>
  <si>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</si>
  <si>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</si>
  <si>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</si>
  <si>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</si>
  <si>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</si>
  <si>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</si>
  <si>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</si>
  <si>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</si>
  <si>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</si>
  <si>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</si>
  <si>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</si>
  <si>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</si>
  <si>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</si>
  <si>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</si>
  <si>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</si>
  <si>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</si>
  <si>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</si>
  <si>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</si>
  <si>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</si>
  <si>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</si>
  <si>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</si>
  <si>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</si>
  <si>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</si>
  <si>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</si>
  <si>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</si>
  <si>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</si>
  <si>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</si>
  <si>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</si>
  <si>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</si>
  <si>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</si>
  <si>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</si>
  <si>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</si>
  <si>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</si>
  <si>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</si>
  <si>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</si>
  <si>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</si>
  <si>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</si>
  <si>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</si>
  <si>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</si>
  <si>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</si>
  <si>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</si>
  <si>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</si>
  <si>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</si>
  <si>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</si>
  <si>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</si>
  <si>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</si>
  <si>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</si>
  <si>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</si>
  <si>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</si>
  <si>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</si>
  <si>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</si>
  <si>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</si>
  <si>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</si>
  <si>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</si>
  <si>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</si>
  <si>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</si>
  <si>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</si>
  <si>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</si>
  <si>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</si>
  <si>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</si>
  <si>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</si>
  <si>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</si>
  <si>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</si>
  <si>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</si>
  <si>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</si>
  <si>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</si>
  <si>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</si>
  <si>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</si>
  <si>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</si>
  <si>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</si>
  <si>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</si>
  <si>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</si>
  <si>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</si>
  <si>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</si>
  <si>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</si>
  <si>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</si>
  <si>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</si>
  <si>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</si>
  <si>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</si>
  <si>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</si>
  <si>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</si>
  <si>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</si>
  <si>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</si>
  <si>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</si>
  <si>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</si>
  <si>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</si>
  <si>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</si>
  <si>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</si>
  <si>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</si>
  <si>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</si>
  <si>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</si>
  <si>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</si>
  <si>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</si>
  <si>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</si>
  <si>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</si>
  <si>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</si>
  <si>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</si>
  <si>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</si>
  <si>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</si>
  <si>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</si>
  <si>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</si>
  <si>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</si>
  <si>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</si>
  <si>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</si>
  <si>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</si>
  <si>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</si>
  <si>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</si>
  <si>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</si>
  <si>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</si>
  <si>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</si>
  <si>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</si>
  <si>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</si>
  <si>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</si>
  <si>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</si>
  <si>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</si>
  <si>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</si>
  <si>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</si>
  <si>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</si>
  <si>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</si>
  <si>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</si>
  <si>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</si>
  <si>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</si>
  <si>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</si>
  <si>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</si>
  <si>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</si>
  <si>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</si>
  <si>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</si>
  <si>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</si>
  <si>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</si>
  <si>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</si>
  <si>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</si>
  <si>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</si>
  <si>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</si>
  <si>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</si>
  <si>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</si>
  <si>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Total Projectionist</t>
  </si>
  <si>
    <t>2022 Budget</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</si>
  <si>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</si>
  <si>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</si>
  <si>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</si>
  <si>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</si>
  <si>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</si>
  <si>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</si>
  <si>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</si>
  <si>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</si>
  <si>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</si>
  <si>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</si>
  <si>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</si>
  <si>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</si>
  <si>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</si>
  <si>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</si>
  <si>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</si>
  <si>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</si>
  <si>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</si>
  <si>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</si>
  <si>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</si>
  <si>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</si>
  <si>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</si>
  <si>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</si>
  <si>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</si>
  <si>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</si>
  <si>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</si>
  <si>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</si>
  <si>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</si>
  <si>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</si>
  <si>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</si>
  <si>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</si>
  <si>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</si>
  <si>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</si>
  <si>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</si>
  <si>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</si>
  <si>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</si>
  <si>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</si>
  <si>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</si>
  <si>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</si>
  <si>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</si>
  <si>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</si>
  <si>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</si>
  <si>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</si>
  <si>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</si>
  <si>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</si>
  <si>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</si>
  <si>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</si>
  <si>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</si>
  <si>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</si>
  <si>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</si>
  <si>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</si>
  <si>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</si>
  <si>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</si>
  <si>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</si>
  <si>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</si>
  <si>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</si>
  <si>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</si>
  <si>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</si>
  <si>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</si>
  <si>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</si>
  <si>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</si>
  <si>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</si>
  <si>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</si>
  <si>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</si>
  <si>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</si>
  <si>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</si>
  <si>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</si>
  <si>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</si>
  <si>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</si>
  <si>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</si>
  <si>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</si>
  <si>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</si>
  <si>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</si>
  <si>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</si>
  <si>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</si>
  <si>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</si>
  <si>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</si>
  <si>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</si>
  <si>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</si>
  <si>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</si>
  <si>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</si>
  <si>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</si>
  <si>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</si>
  <si>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</si>
  <si>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</si>
  <si>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</si>
  <si>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</si>
  <si>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</si>
  <si>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</si>
  <si>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</si>
  <si>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</si>
  <si>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</si>
  <si>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</si>
  <si>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</si>
  <si>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</si>
  <si>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</si>
  <si>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</si>
  <si>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</si>
  <si>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</si>
  <si>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</si>
  <si>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</si>
  <si>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</si>
  <si>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</si>
  <si>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</si>
  <si>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</si>
  <si>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</si>
  <si>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</si>
  <si>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</si>
  <si>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</si>
  <si>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</si>
  <si>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</si>
  <si>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</si>
  <si>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</si>
  <si>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</si>
  <si>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</si>
  <si>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</si>
  <si>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</si>
  <si>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</si>
  <si>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</si>
  <si>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</si>
  <si>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</si>
  <si>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</si>
  <si>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2021 Actual</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</si>
  <si>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</si>
  <si>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</si>
  <si>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</si>
  <si>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</si>
  <si>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</si>
  <si>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</si>
  <si>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</si>
  <si>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</si>
  <si>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</si>
  <si>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</si>
  <si>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</si>
  <si>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</si>
  <si>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</si>
  <si>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</si>
  <si>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</si>
  <si>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</si>
  <si>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</si>
  <si>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</si>
  <si>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</si>
  <si>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</si>
  <si>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</si>
  <si>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</si>
  <si>
    <t>Dedicated Funds:</t>
  </si>
  <si>
    <t>Prime Timers</t>
  </si>
  <si>
    <t>Good Samaritan Fund</t>
  </si>
  <si>
    <t>Sunday School Mission</t>
  </si>
  <si>
    <t>Celebration/Revelation</t>
  </si>
  <si>
    <t>Youth Ministry Fund</t>
  </si>
  <si>
    <t>Young Adults Mission</t>
  </si>
  <si>
    <t>Community Meals</t>
  </si>
  <si>
    <t>Receipts</t>
  </si>
  <si>
    <t>Current Balance</t>
  </si>
  <si>
    <t>Begining Balance</t>
  </si>
  <si>
    <t>Lutherdale Camperships</t>
  </si>
  <si>
    <t>Pastor's Continuing Ed (carry over)</t>
  </si>
  <si>
    <t>Book Club</t>
  </si>
  <si>
    <t>AV System</t>
  </si>
  <si>
    <t>Associated Pastor</t>
  </si>
  <si>
    <t>Membership Activities</t>
  </si>
  <si>
    <t>Berven Fund</t>
  </si>
  <si>
    <t>Banners/Liturgical</t>
  </si>
  <si>
    <t>Council Commitment</t>
  </si>
  <si>
    <t>Landscaping Maint.</t>
  </si>
  <si>
    <t>Nature Preserve</t>
  </si>
  <si>
    <t>Total Dedicated Funds</t>
  </si>
  <si>
    <t>Memorials</t>
  </si>
  <si>
    <t>Facilities Reserve</t>
  </si>
  <si>
    <t>$810.32 was grant money received for livestreaming equipment and the $383.21 was to purchase the equipment.</t>
  </si>
  <si>
    <t>Purchased 2 new Christmas Banners for $221 as the Mohrbacher's wanted some of their mom's memorial money to go for new banners.</t>
  </si>
  <si>
    <t>Approved $200 for LED lights….Cheryl has not received an invoice yet.</t>
  </si>
  <si>
    <t>$150.99 Staff Christmas Brunch, $500 Chosen Donation ($500 collected, donation charged on credit card), $100 Racine Interfaith dinner Pastor and Colin, $50.40 gifts Santa to Senior, $250 was a 2022 offering given in 2021 and</t>
  </si>
  <si>
    <t>transferred to envelop offerings in 2022, and $100 scrip for food cards for member in need.  $200 Monte Peterson preaching, $38.96 Souper Bowl Caring Donation, $300 Ukraine Refugees Donation, $186.35 Vision Retreat food,</t>
  </si>
  <si>
    <t>$33.46 Lent Meals, $324 Easter Breakfast (this offset the $662 received)</t>
  </si>
  <si>
    <t>$1,555 receipts was from congregation donations for the building fund.
Approved $13,700 (increased $2,000 from 2021 estimate of $11,700) for the parking lot resurfacing.  Trying to schedule for late July or August as Neighborhood Camp in June 20-July 21</t>
  </si>
  <si>
    <t>Glen</t>
  </si>
  <si>
    <t xml:space="preserve"> $/hr</t>
  </si>
  <si>
    <t>hrs/wk</t>
  </si>
  <si>
    <t>Taxes</t>
  </si>
  <si>
    <t>FICA</t>
  </si>
  <si>
    <t>Work Comp</t>
  </si>
  <si>
    <t>Potential Increase</t>
  </si>
  <si>
    <t>Approx Total</t>
  </si>
  <si>
    <t>Also in our Custodian Budget for 2022</t>
  </si>
  <si>
    <t>Change</t>
  </si>
  <si>
    <t>Rebecca</t>
  </si>
  <si>
    <t>Back-up for Glen</t>
  </si>
  <si>
    <t>Total Additional</t>
  </si>
  <si>
    <t>May YTD</t>
  </si>
  <si>
    <t>Actual</t>
  </si>
  <si>
    <t>Budget</t>
  </si>
  <si>
    <t>Favorable</t>
  </si>
  <si>
    <t>Custodian</t>
  </si>
  <si>
    <t>May use up more hours second half year due to Pastor Karen leaving</t>
  </si>
  <si>
    <t>April Misc was $2,708 from $1,226 from Trivant Choice Fund, $1,475 Building Use, and $6.80 Kwik Trip Rebate (member has it sent to LCR)</t>
  </si>
  <si>
    <t>$125 for RIC ad</t>
  </si>
  <si>
    <t>All Volunteers</t>
  </si>
  <si>
    <t>Would this fit better under another group?</t>
  </si>
  <si>
    <t>Eliminate….no one is doing this any longer</t>
  </si>
  <si>
    <t>Eliminate not really used</t>
  </si>
  <si>
    <t>Not doing this….Could this be for Visioning projects…RIC?</t>
  </si>
  <si>
    <t>Anton - updated software for Laptop</t>
  </si>
  <si>
    <t>Okay</t>
  </si>
  <si>
    <t>Eliminate</t>
  </si>
  <si>
    <t>$16.00 / hr</t>
  </si>
  <si>
    <t>Cell phone and extra week vacation.  I have asked for her offer letter</t>
  </si>
  <si>
    <t>Don't use?  Lunches or christmas lunch?</t>
  </si>
  <si>
    <t>Gifts - should be approved.  Should P. Kelly get gift?</t>
  </si>
  <si>
    <t>Scott Skor…..3/4 times per year to mow.  When volunteers can't?</t>
  </si>
  <si>
    <t>Benevolence is "trued up" at end of year</t>
  </si>
  <si>
    <t>Paid $500 for P. Holm Visioning in Sept. for 2023 visioning sessions</t>
  </si>
  <si>
    <t>How many confirmants do we have this year?</t>
  </si>
  <si>
    <t>Far less Sunday school attendees….should budget be reduced?</t>
  </si>
  <si>
    <t>Join with Mt Pleasant?  Significantly reduced # of youth.  And Youth Policy. Merge with Parish Ed.  Considering PT youth staff</t>
  </si>
  <si>
    <t>$890 in May for 4 people to attend</t>
  </si>
  <si>
    <t>2023 Budget</t>
  </si>
  <si>
    <t>1/16/18-7/30/22</t>
  </si>
  <si>
    <t>Pastor ????</t>
  </si>
  <si>
    <t>Currently at ELCA guidelines.  P. Kelly may choose to buy back additional weeks of vacation</t>
  </si>
  <si>
    <t>ELCA guidelines is 2% for 1 additional year experience, 4% COLA and ?% Merit</t>
  </si>
  <si>
    <t>Dec 3-Dec 24, 2023</t>
  </si>
  <si>
    <t>Feb 22 - April 8, 2023</t>
  </si>
  <si>
    <t>Christmas is on Monday (2022 was a Sunday)</t>
  </si>
  <si>
    <t>Memorial Day May 29 - Labor Day Sept 4, 2023</t>
  </si>
  <si>
    <t>All band members get $60/Sunday</t>
  </si>
  <si>
    <t>No longer paying anyone for this in 2022</t>
  </si>
  <si>
    <t>Other Musicians</t>
  </si>
  <si>
    <t xml:space="preserve">     Number of Flutists</t>
  </si>
  <si>
    <t>Total Flutist</t>
  </si>
  <si>
    <t>Jan 2022 was pre-recorded music.  $60 per date played?  Budget for 2022 was $55/service.  Have been paying $60?</t>
  </si>
  <si>
    <t>Pay per month (excludes 3 months for summer)</t>
  </si>
  <si>
    <t>Excludes 3 months for summer</t>
  </si>
  <si>
    <t>Total Hand Bell Choir</t>
  </si>
  <si>
    <t>Total Other Musicians</t>
  </si>
  <si>
    <t>REVELATION BAND:</t>
  </si>
  <si>
    <t>OTHER MUSICIANS:</t>
  </si>
  <si>
    <t>FLUTIST:</t>
  </si>
  <si>
    <t>HAND BELL CHOIR - Jim Sodkey:</t>
  </si>
  <si>
    <t>Glen increased to 16 mid year ish</t>
  </si>
  <si>
    <t>Took out the back fill for Glenn….assume his salary covers if he is not working</t>
  </si>
  <si>
    <t>All Volunteers but will we need to pay going forward?</t>
  </si>
  <si>
    <t>Assume comes from Cheryl salary when not working</t>
  </si>
  <si>
    <t xml:space="preserve">Keep the same </t>
  </si>
  <si>
    <t>Did not receive any information</t>
  </si>
  <si>
    <t>Nov/Dec 2022 Insurance Chg</t>
  </si>
  <si>
    <t>Full Year 2022</t>
  </si>
  <si>
    <t>Purchase Gold * (David and Pastor Kelly)</t>
  </si>
  <si>
    <t>Portion of Medical/Vision/Dental Elected to go into Salary (includes gross up) = $200/month</t>
  </si>
  <si>
    <t>Continuing Ed</t>
  </si>
  <si>
    <t>$60 Visioning Retreat</t>
  </si>
  <si>
    <t>Mistake will be corrected next quarter and will be at budget at year end</t>
  </si>
  <si>
    <t>Expense:  $300 refunded youth deposit for not attending youth gathering, $40 to Pastor Kelly for Cake &amp; Pie start up money, $890.75 for meat sale, $1,575 Youth Gathering Registrations, $3,434.53 Youth Food, van, rooms ($476 reimbursed from Spirit Alive)</t>
  </si>
  <si>
    <t>Pay Rates for 2023</t>
  </si>
  <si>
    <t>Made another payment $281.52 on 10/11/22, mostly timing of payments</t>
  </si>
  <si>
    <t>This is for the Hand Bell Choir.  There was no choir in January so we did not pay him until starting in Feb.  Combine with "Other Musicians" line beginning 2023</t>
  </si>
  <si>
    <t>Combine with "Other Muscians" beginning 2023</t>
  </si>
  <si>
    <t>Beginning Balance</t>
  </si>
  <si>
    <t>Increasing</t>
  </si>
  <si>
    <t>Youth and Education Coordinator</t>
  </si>
  <si>
    <t>Consultant - Visioning/Call Process</t>
  </si>
  <si>
    <t>Currently considering combining with Youth - No change to budget but far less children</t>
  </si>
  <si>
    <t>Include with Kitchen Supplies</t>
  </si>
  <si>
    <t>For 2023, Per ELCA guidelines:  10 years of experience (2% increase $1,335) plus a COLA 4% ($2,685)</t>
  </si>
  <si>
    <t>Per Pastor Kelly's Contract for 2023 she receives 4 weeks of vacation (including 4 Sundays).  In addition, for 2023, Pastor Kelly elected to purchase 2 weeks of vacation (includes 2 Sundays).</t>
  </si>
  <si>
    <t xml:space="preserve">Not paying anyone (was Andrew Cline).  </t>
  </si>
  <si>
    <t xml:space="preserve">Change to "Other Musicians"  Include Flutist.  $60/time played for all.  Hand Bell Choir (Jim) $125/month for 9 months nothing in summers. Do not pay for summer set up.  </t>
  </si>
  <si>
    <t>Receipts:  $420 Congregation donations, $150 deposit youth gathering cancelled, $1,928.17 reimbursement youth start up, $1,650 Youth gathering deposit refund, $695 cake/pie proceeds, $1,228.50 proceeds from meat sale.</t>
  </si>
  <si>
    <t>Use $5,000 for the P/T Youth position?</t>
  </si>
  <si>
    <t>Make note of all things included in Other Musicians and any other changes</t>
  </si>
  <si>
    <t>Full Year 2023 with Insurance and no raise</t>
  </si>
  <si>
    <t>2023 Budget:  Added Consultant and P/T Youth Staff less Lead Pastor Position</t>
  </si>
  <si>
    <t>The Carry-over balance was used. Estimate is $700/month</t>
  </si>
  <si>
    <t>$250/Sunday</t>
  </si>
  <si>
    <t>Per Cheryl</t>
  </si>
  <si>
    <t xml:space="preserve">     Pay per Service per person</t>
  </si>
  <si>
    <t>For 2023 will by all musicians $60/Service (no practice payments)</t>
  </si>
  <si>
    <t>October 2022 YTD Actual</t>
  </si>
  <si>
    <t>October 2022 YTD Budget</t>
  </si>
  <si>
    <t>Salaries.com Racine, WI</t>
  </si>
  <si>
    <t>50% (Median)</t>
  </si>
  <si>
    <t>vs 2022 Budget</t>
  </si>
  <si>
    <t>Accountant II</t>
  </si>
  <si>
    <t>Admin. Service - Clerical - Senior</t>
  </si>
  <si>
    <t>PT Coordinator Youth Leader</t>
  </si>
  <si>
    <t>Sunday School Director</t>
  </si>
  <si>
    <t>Camp Director</t>
  </si>
  <si>
    <t>Part time position to assist with Youth and Education coordination. (Approx $24/hr)</t>
  </si>
  <si>
    <t>Visioning and Call Process - Pastor Holm $6,900 and $11,770 new pastor salary</t>
  </si>
  <si>
    <t>2023 Proposed Budget</t>
  </si>
  <si>
    <t>2022 Actual</t>
  </si>
  <si>
    <t>2022 Ending Balance</t>
  </si>
  <si>
    <t>Good Samaritan</t>
  </si>
  <si>
    <t>Racine Interfaith Coalition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</si>
</sst>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 numFmtId="174" formatCode="&quot;$&quot;#,##0.00"/>
    <numFmt numFmtId="175" formatCode="&quot;$&quot;#,##0"/>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
      <b/>
      <u/>
      <sz val="14"/>
      <color theme="1"/>
      <name val="Calibri"/>
      <family val="2"/>
      <scheme val="minor"/>
    </font>
    <font>
      <b/>
      <sz val="12"/>
      <color rgb="FFFF0000"/>
      <name val="Arial"/>
      <family val="2"/>
    </font>
    <font>
      <u val="singleAccounting"/>
      <sz val="11"/>
      <color rgb="FFFF0000"/>
      <name val="Calibri"/>
      <family val="2"/>
      <scheme val="minor"/>
    </font>
  </fonts>
  <fills count="1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
      <patternFill patternType="solid">
        <fgColor theme="5" tint="0.79998168889431442"/>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77">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7" fontId="12" fillId="0" borderId="0" xfId="0" applyNumberFormat="1" applyFont="1" applyAlignment="1">
      <alignment vertical="center"/>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5" fontId="40" fillId="0" borderId="0" xfId="0" applyNumberFormat="1" applyFont="1"/>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40" fillId="0" borderId="20" xfId="0" applyFont="1" applyBorder="1" applyAlignment="1">
      <alignment horizontal="center"/>
    </xf>
    <xf numFmtId="0" fontId="5" fillId="0" borderId="22" xfId="0" applyFont="1" applyBorder="1" applyAlignment="1">
      <alignment vertical="center"/>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5" fontId="0" fillId="0" borderId="34" xfId="2" applyNumberFormat="1" applyFont="1" applyBorder="1" applyAlignment="1">
      <alignment horizontal="left" vertical="center"/>
    </xf>
    <xf numFmtId="1" fontId="8" fillId="7" borderId="0" xfId="1" applyNumberFormat="1" applyFont="1" applyFill="1" applyBorder="1" applyAlignment="1">
      <alignment horizontal="left" vertical="center"/>
    </xf>
    <xf numFmtId="164" fontId="2" fillId="0" borderId="0" xfId="1" applyNumberFormat="1" applyFont="1" applyBorder="1" applyAlignment="1">
      <alignment horizontal="left" vertical="center" wrapText="1"/>
    </xf>
    <xf numFmtId="164" fontId="0" fillId="0" borderId="0" xfId="1" applyNumberFormat="1" applyFont="1" applyAlignment="1">
      <alignment horizontal="left"/>
    </xf>
    <xf numFmtId="165" fontId="0" fillId="0" borderId="0" xfId="2" applyNumberFormat="1" applyFont="1" applyBorder="1" applyAlignment="1">
      <alignment horizontal="left" vertical="center"/>
    </xf>
    <xf numFmtId="165" fontId="0" fillId="0" borderId="33" xfId="2" applyNumberFormat="1" applyFont="1" applyBorder="1" applyAlignment="1">
      <alignment horizontal="left" vertical="center"/>
    </xf>
    <xf numFmtId="165" fontId="2" fillId="2" borderId="0" xfId="2" applyNumberFormat="1" applyFont="1" applyFill="1" applyAlignment="1">
      <alignment horizontal="left" vertical="center"/>
    </xf>
    <xf numFmtId="165" fontId="0" fillId="0" borderId="32" xfId="2" applyNumberFormat="1" applyFont="1" applyBorder="1" applyAlignment="1">
      <alignment horizontal="left" vertical="center"/>
    </xf>
    <xf numFmtId="164" fontId="40" fillId="0" borderId="0" xfId="1" applyNumberFormat="1" applyFont="1" applyAlignment="1">
      <alignment horizontal="left"/>
    </xf>
    <xf numFmtId="165" fontId="2" fillId="8" borderId="0" xfId="2" applyNumberFormat="1" applyFont="1" applyFill="1" applyAlignment="1">
      <alignment horizontal="left" vertical="center"/>
    </xf>
    <xf numFmtId="165" fontId="2" fillId="0" borderId="0" xfId="2" applyNumberFormat="1" applyFont="1" applyFill="1" applyAlignment="1">
      <alignment horizontal="left" vertical="center"/>
    </xf>
    <xf numFmtId="165" fontId="2" fillId="3" borderId="0" xfId="2" applyNumberFormat="1" applyFont="1" applyFill="1" applyAlignment="1">
      <alignment horizontal="left" vertical="center"/>
    </xf>
    <xf numFmtId="165" fontId="0" fillId="0" borderId="0" xfId="2" applyNumberFormat="1" applyFont="1" applyAlignment="1">
      <alignment horizontal="left" vertical="center"/>
    </xf>
    <xf numFmtId="165" fontId="2" fillId="5" borderId="0" xfId="2" applyNumberFormat="1" applyFont="1" applyFill="1" applyAlignment="1">
      <alignment horizontal="left" vertical="center"/>
    </xf>
    <xf numFmtId="165" fontId="15" fillId="0" borderId="33" xfId="2" applyNumberFormat="1" applyFont="1" applyBorder="1" applyAlignment="1">
      <alignment horizontal="left" vertical="center"/>
    </xf>
    <xf numFmtId="165" fontId="13" fillId="6" borderId="0" xfId="2" applyNumberFormat="1" applyFont="1" applyFill="1" applyAlignment="1">
      <alignment horizontal="left" vertical="center"/>
    </xf>
    <xf numFmtId="165" fontId="2" fillId="7" borderId="0" xfId="2" applyNumberFormat="1" applyFont="1" applyFill="1" applyAlignment="1">
      <alignment horizontal="left" vertical="center"/>
    </xf>
    <xf numFmtId="165" fontId="13" fillId="7" borderId="0" xfId="2" applyNumberFormat="1" applyFont="1" applyFill="1" applyAlignment="1">
      <alignment horizontal="left" vertical="center"/>
    </xf>
    <xf numFmtId="165" fontId="2" fillId="2" borderId="0" xfId="2" applyNumberFormat="1" applyFont="1" applyFill="1" applyBorder="1" applyAlignment="1">
      <alignment horizontal="left" vertical="center"/>
    </xf>
    <xf numFmtId="165" fontId="13" fillId="2" borderId="0" xfId="2" applyNumberFormat="1" applyFont="1" applyFill="1" applyBorder="1" applyAlignment="1">
      <alignment horizontal="left" vertical="center"/>
    </xf>
    <xf numFmtId="164" fontId="1" fillId="0" borderId="0" xfId="1" applyNumberFormat="1" applyFont="1" applyAlignment="1">
      <alignment vertical="center"/>
    </xf>
    <xf numFmtId="164" fontId="0" fillId="11" borderId="0" xfId="1" applyNumberFormat="1" applyFont="1" applyFill="1" applyAlignment="1">
      <alignment vertical="center"/>
    </xf>
    <xf numFmtId="164" fontId="0" fillId="11" borderId="0" xfId="1" applyNumberFormat="1" applyFont="1" applyFill="1" applyAlignment="1">
      <alignment horizontal="center" vertical="center"/>
    </xf>
    <xf numFmtId="44" fontId="0" fillId="11" borderId="0" xfId="1" applyNumberFormat="1" applyFont="1" applyFill="1" applyAlignment="1">
      <alignment horizontal="center" vertical="center"/>
    </xf>
    <xf numFmtId="164" fontId="1" fillId="11" borderId="0" xfId="1" applyNumberFormat="1" applyFont="1" applyFill="1" applyAlignment="1">
      <alignment vertical="center"/>
    </xf>
    <xf numFmtId="44" fontId="0" fillId="11" borderId="0" xfId="1" applyNumberFormat="1" applyFont="1" applyFill="1" applyAlignment="1">
      <alignment vertical="center"/>
    </xf>
    <xf numFmtId="164" fontId="15" fillId="11" borderId="0" xfId="1" applyNumberFormat="1" applyFont="1" applyFill="1" applyAlignment="1">
      <alignment vertical="center"/>
    </xf>
    <xf numFmtId="164" fontId="0" fillId="11" borderId="0" xfId="1" applyNumberFormat="1" applyFont="1" applyFill="1" applyAlignment="1">
      <alignment horizontal="left" vertical="center" wrapText="1"/>
    </xf>
    <xf numFmtId="164" fontId="0" fillId="11" borderId="79" xfId="1" applyNumberFormat="1" applyFont="1" applyFill="1" applyBorder="1" applyAlignment="1">
      <alignment vertical="center"/>
    </xf>
    <xf numFmtId="164" fontId="0" fillId="11" borderId="80" xfId="1" applyNumberFormat="1" applyFont="1" applyFill="1" applyBorder="1" applyAlignment="1">
      <alignment vertical="center"/>
    </xf>
    <xf numFmtId="164" fontId="0" fillId="11" borderId="80" xfId="1" applyNumberFormat="1" applyFont="1" applyFill="1" applyBorder="1" applyAlignment="1">
      <alignment horizontal="center" vertical="center"/>
    </xf>
    <xf numFmtId="44" fontId="0" fillId="11" borderId="80" xfId="1" applyNumberFormat="1" applyFont="1" applyFill="1" applyBorder="1" applyAlignment="1">
      <alignment horizontal="center" vertical="center"/>
    </xf>
    <xf numFmtId="164" fontId="2" fillId="11" borderId="80" xfId="1" applyNumberFormat="1" applyFont="1" applyFill="1" applyBorder="1" applyAlignment="1">
      <alignment horizontal="center" vertical="center" wrapText="1"/>
    </xf>
    <xf numFmtId="164" fontId="2" fillId="11" borderId="80" xfId="1" applyNumberFormat="1" applyFont="1" applyFill="1" applyBorder="1" applyAlignment="1">
      <alignment horizontal="center" vertical="center"/>
    </xf>
    <xf numFmtId="164" fontId="2" fillId="11" borderId="81" xfId="1" applyNumberFormat="1" applyFont="1" applyFill="1" applyBorder="1" applyAlignment="1">
      <alignment horizontal="left" vertical="center"/>
    </xf>
    <xf numFmtId="164" fontId="0" fillId="11" borderId="0" xfId="1" applyNumberFormat="1" applyFont="1" applyFill="1" applyAlignment="1">
      <alignment horizontal="left" vertical="center"/>
    </xf>
    <xf numFmtId="164" fontId="0" fillId="0" borderId="80" xfId="1" applyNumberFormat="1" applyFont="1" applyFill="1" applyBorder="1" applyAlignment="1">
      <alignment vertical="center"/>
    </xf>
    <xf numFmtId="164" fontId="0" fillId="0" borderId="80" xfId="1" applyNumberFormat="1" applyFont="1" applyFill="1" applyBorder="1" applyAlignment="1">
      <alignment horizontal="center" vertical="center"/>
    </xf>
    <xf numFmtId="164" fontId="2" fillId="11" borderId="79" xfId="1" applyNumberFormat="1" applyFont="1" applyFill="1" applyBorder="1" applyAlignment="1">
      <alignment vertical="center"/>
    </xf>
    <xf numFmtId="164" fontId="2" fillId="0" borderId="79" xfId="1" applyNumberFormat="1" applyFont="1" applyFill="1" applyBorder="1" applyAlignment="1">
      <alignment vertical="center"/>
    </xf>
    <xf numFmtId="164" fontId="2" fillId="0" borderId="80" xfId="1" applyNumberFormat="1" applyFont="1" applyFill="1" applyBorder="1" applyAlignment="1">
      <alignment vertical="center"/>
    </xf>
    <xf numFmtId="164" fontId="0" fillId="0" borderId="81" xfId="1" applyNumberFormat="1" applyFont="1" applyFill="1" applyBorder="1" applyAlignment="1">
      <alignment horizontal="left" vertical="center"/>
    </xf>
    <xf numFmtId="44" fontId="12" fillId="0" borderId="0" xfId="1" applyNumberFormat="1" applyFont="1" applyAlignment="1">
      <alignment horizontal="left" vertical="center"/>
    </xf>
    <xf numFmtId="0" fontId="0" fillId="0" borderId="6" xfId="0" applyBorder="1"/>
    <xf numFmtId="0" fontId="0" fillId="0" borderId="5" xfId="0" applyBorder="1"/>
    <xf numFmtId="164" fontId="0" fillId="0" borderId="0" xfId="1" applyNumberFormat="1" applyFont="1" applyBorder="1" applyAlignment="1">
      <alignment horizontal="left" vertical="center"/>
    </xf>
    <xf numFmtId="5" fontId="0" fillId="0" borderId="0" xfId="0" applyNumberFormat="1"/>
    <xf numFmtId="0" fontId="46"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174" fontId="15" fillId="0" borderId="4" xfId="0" applyNumberFormat="1" applyFont="1" applyBorder="1"/>
    <xf numFmtId="174" fontId="15" fillId="0" borderId="6" xfId="0" applyNumberFormat="1" applyFont="1" applyBorder="1"/>
    <xf numFmtId="0" fontId="15" fillId="0" borderId="25" xfId="0" applyFont="1" applyBorder="1"/>
    <xf numFmtId="0" fontId="15" fillId="0" borderId="0" xfId="0" applyFont="1" applyBorder="1"/>
    <xf numFmtId="0" fontId="0" fillId="0" borderId="26" xfId="0" applyBorder="1"/>
    <xf numFmtId="5" fontId="2" fillId="0" borderId="25" xfId="1" applyNumberFormat="1" applyFont="1" applyBorder="1"/>
    <xf numFmtId="5" fontId="2" fillId="0" borderId="0" xfId="1" applyNumberFormat="1" applyFont="1" applyBorder="1"/>
    <xf numFmtId="0" fontId="0" fillId="0" borderId="25" xfId="0" applyBorder="1"/>
    <xf numFmtId="5" fontId="0" fillId="0" borderId="25" xfId="0" applyNumberFormat="1" applyBorder="1"/>
    <xf numFmtId="5" fontId="0" fillId="0" borderId="0" xfId="0" applyNumberFormat="1" applyBorder="1"/>
    <xf numFmtId="5" fontId="2" fillId="0" borderId="9" xfId="0" applyNumberFormat="1" applyFont="1" applyBorder="1"/>
    <xf numFmtId="5" fontId="2" fillId="0" borderId="8" xfId="0" applyNumberFormat="1" applyFont="1" applyBorder="1"/>
    <xf numFmtId="5" fontId="2" fillId="0" borderId="10" xfId="0" applyNumberFormat="1"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xf numFmtId="0" fontId="0" fillId="0" borderId="4" xfId="0" applyBorder="1" applyAlignment="1">
      <alignment horizontal="right"/>
    </xf>
    <xf numFmtId="174" fontId="15" fillId="0" borderId="5" xfId="0" applyNumberFormat="1" applyFont="1" applyBorder="1"/>
    <xf numFmtId="0" fontId="0" fillId="0" borderId="25" xfId="0" applyBorder="1" applyAlignment="1">
      <alignment horizontal="right"/>
    </xf>
    <xf numFmtId="0" fontId="15" fillId="0" borderId="26" xfId="0" applyFont="1" applyBorder="1"/>
    <xf numFmtId="0" fontId="2" fillId="0" borderId="25" xfId="0" applyFont="1" applyBorder="1" applyAlignment="1">
      <alignment horizontal="right"/>
    </xf>
    <xf numFmtId="5" fontId="2" fillId="0" borderId="26" xfId="1" applyNumberFormat="1" applyFont="1" applyBorder="1"/>
    <xf numFmtId="0" fontId="0" fillId="0" borderId="0" xfId="0" applyBorder="1" applyAlignment="1">
      <alignment horizontal="right"/>
    </xf>
    <xf numFmtId="5" fontId="0" fillId="0" borderId="26" xfId="0" applyNumberFormat="1" applyBorder="1"/>
    <xf numFmtId="0" fontId="2" fillId="0" borderId="9" xfId="0" applyFont="1" applyBorder="1"/>
    <xf numFmtId="0" fontId="2" fillId="0" borderId="8" xfId="0" applyFont="1" applyBorder="1"/>
    <xf numFmtId="0" fontId="0" fillId="11" borderId="1" xfId="0" applyFill="1" applyBorder="1"/>
    <xf numFmtId="0" fontId="2" fillId="11" borderId="2" xfId="0" applyFont="1" applyFill="1" applyBorder="1" applyAlignment="1">
      <alignment horizontal="right"/>
    </xf>
    <xf numFmtId="5" fontId="2" fillId="11" borderId="2" xfId="0" applyNumberFormat="1" applyFont="1" applyFill="1" applyBorder="1"/>
    <xf numFmtId="5" fontId="2" fillId="11" borderId="3" xfId="0" applyNumberFormat="1" applyFont="1" applyFill="1" applyBorder="1"/>
    <xf numFmtId="5" fontId="2" fillId="11" borderId="10" xfId="0" applyNumberFormat="1" applyFont="1" applyFill="1" applyBorder="1"/>
    <xf numFmtId="0" fontId="2" fillId="11" borderId="1" xfId="0" applyFont="1" applyFill="1" applyBorder="1"/>
    <xf numFmtId="0" fontId="2" fillId="0" borderId="9" xfId="0" applyFont="1" applyBorder="1" applyAlignment="1">
      <alignment horizontal="center"/>
    </xf>
    <xf numFmtId="0" fontId="2" fillId="0" borderId="10" xfId="0" applyFont="1" applyBorder="1" applyAlignment="1">
      <alignment horizontal="center"/>
    </xf>
    <xf numFmtId="175" fontId="0" fillId="0" borderId="4" xfId="0" applyNumberFormat="1" applyFont="1" applyBorder="1"/>
    <xf numFmtId="175" fontId="0" fillId="0" borderId="5" xfId="0" applyNumberFormat="1" applyFont="1" applyBorder="1"/>
    <xf numFmtId="175" fontId="2" fillId="11" borderId="9" xfId="0" applyNumberFormat="1" applyFont="1" applyFill="1" applyBorder="1"/>
    <xf numFmtId="164" fontId="0" fillId="0" borderId="0" xfId="1" applyNumberFormat="1" applyFont="1" applyFill="1" applyAlignment="1">
      <alignment wrapText="1"/>
    </xf>
    <xf numFmtId="164" fontId="2" fillId="0" borderId="0" xfId="1" applyNumberFormat="1" applyFont="1" applyAlignment="1">
      <alignment vertical="top"/>
    </xf>
    <xf numFmtId="43" fontId="0" fillId="0" borderId="33" xfId="3" applyFont="1" applyBorder="1" applyAlignment="1">
      <alignment horizontal="left" vertical="center"/>
    </xf>
    <xf numFmtId="165" fontId="12" fillId="0" borderId="34" xfId="2" applyNumberFormat="1" applyFont="1" applyBorder="1" applyAlignment="1">
      <alignment horizontal="left" vertical="center"/>
    </xf>
    <xf numFmtId="165" fontId="12" fillId="0" borderId="33" xfId="2" applyNumberFormat="1" applyFont="1" applyBorder="1" applyAlignment="1">
      <alignment horizontal="left" vertical="center"/>
    </xf>
    <xf numFmtId="165" fontId="12" fillId="0" borderId="0" xfId="2" applyNumberFormat="1" applyFont="1" applyBorder="1" applyAlignment="1">
      <alignment horizontal="left" vertical="center"/>
    </xf>
    <xf numFmtId="165" fontId="12" fillId="0" borderId="32" xfId="2" applyNumberFormat="1" applyFont="1" applyBorder="1" applyAlignment="1">
      <alignment horizontal="left" vertical="center"/>
    </xf>
    <xf numFmtId="165" fontId="12" fillId="0" borderId="33" xfId="2" applyNumberFormat="1" applyFont="1" applyBorder="1" applyAlignment="1">
      <alignment horizontal="left" vertical="center" wrapText="1"/>
    </xf>
    <xf numFmtId="165" fontId="12" fillId="0" borderId="0" xfId="2" applyNumberFormat="1" applyFont="1" applyAlignment="1">
      <alignment horizontal="left" vertical="center"/>
    </xf>
    <xf numFmtId="0" fontId="2" fillId="0" borderId="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5" xfId="0" applyFill="1" applyBorder="1" applyAlignment="1">
      <alignment horizontal="center" vertical="center" wrapText="1"/>
    </xf>
    <xf numFmtId="165" fontId="1" fillId="3" borderId="0" xfId="2" applyNumberFormat="1" applyFont="1" applyFill="1" applyAlignment="1">
      <alignment horizontal="left" vertical="center"/>
    </xf>
    <xf numFmtId="165" fontId="7" fillId="0" borderId="34" xfId="2" applyNumberFormat="1" applyFont="1" applyBorder="1" applyAlignment="1">
      <alignment horizontal="left" vertical="center"/>
    </xf>
    <xf numFmtId="165" fontId="12" fillId="3" borderId="0" xfId="2" applyNumberFormat="1" applyFont="1" applyFill="1" applyAlignment="1">
      <alignment horizontal="left" vertical="center" wrapText="1"/>
    </xf>
    <xf numFmtId="0" fontId="2" fillId="11" borderId="0" xfId="0" applyFont="1" applyFill="1" applyAlignment="1">
      <alignment vertical="center"/>
    </xf>
    <xf numFmtId="5" fontId="7" fillId="0" borderId="29" xfId="0" applyNumberFormat="1" applyFont="1" applyFill="1" applyBorder="1" applyAlignment="1">
      <alignment horizontal="right" vertical="center"/>
    </xf>
    <xf numFmtId="165" fontId="12" fillId="0" borderId="0" xfId="2" applyNumberFormat="1" applyFont="1" applyBorder="1" applyAlignment="1">
      <alignment horizontal="left" vertical="center" wrapText="1"/>
    </xf>
    <xf numFmtId="13" fontId="0" fillId="0" borderId="0" xfId="1" applyNumberFormat="1" applyFont="1" applyAlignment="1">
      <alignment vertical="center"/>
    </xf>
    <xf numFmtId="5" fontId="13" fillId="0" borderId="0" xfId="1" applyNumberFormat="1" applyFont="1" applyFill="1" applyBorder="1" applyAlignment="1">
      <alignment vertical="center"/>
    </xf>
    <xf numFmtId="0" fontId="2" fillId="0" borderId="66" xfId="0" applyFont="1" applyFill="1" applyBorder="1" applyAlignment="1">
      <alignment vertical="center"/>
    </xf>
    <xf numFmtId="0" fontId="2" fillId="0" borderId="0" xfId="0" applyFont="1" applyFill="1" applyBorder="1" applyAlignment="1">
      <alignment vertical="top"/>
    </xf>
    <xf numFmtId="0" fontId="0" fillId="0" borderId="80" xfId="0" applyBorder="1" applyAlignment="1">
      <alignment vertical="center"/>
    </xf>
    <xf numFmtId="0" fontId="0" fillId="0" borderId="81" xfId="0" applyBorder="1" applyAlignment="1">
      <alignment vertical="center"/>
    </xf>
    <xf numFmtId="0" fontId="2" fillId="0" borderId="17" xfId="0" applyFont="1" applyFill="1" applyBorder="1" applyAlignment="1">
      <alignment vertical="center"/>
    </xf>
    <xf numFmtId="5" fontId="8" fillId="0" borderId="18" xfId="1" applyNumberFormat="1" applyFont="1" applyFill="1" applyBorder="1" applyAlignment="1">
      <alignment vertical="center"/>
    </xf>
    <xf numFmtId="5" fontId="13" fillId="0" borderId="18" xfId="1" applyNumberFormat="1" applyFont="1" applyFill="1" applyBorder="1" applyAlignment="1">
      <alignment vertical="center"/>
    </xf>
    <xf numFmtId="0" fontId="0" fillId="0" borderId="19" xfId="0" applyFill="1" applyBorder="1" applyAlignment="1">
      <alignment vertical="center"/>
    </xf>
    <xf numFmtId="0" fontId="2" fillId="0" borderId="20" xfId="0" applyFont="1" applyFill="1" applyBorder="1" applyAlignment="1">
      <alignment vertical="center"/>
    </xf>
    <xf numFmtId="5" fontId="8" fillId="0" borderId="21" xfId="1" applyNumberFormat="1" applyFont="1"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5" fontId="8" fillId="0" borderId="80" xfId="1" applyNumberFormat="1" applyFont="1" applyFill="1" applyBorder="1" applyAlignment="1">
      <alignment vertical="center"/>
    </xf>
    <xf numFmtId="0" fontId="0" fillId="0" borderId="80" xfId="0" applyFill="1" applyBorder="1" applyAlignment="1">
      <alignment vertical="center"/>
    </xf>
    <xf numFmtId="0" fontId="0" fillId="0" borderId="81" xfId="0" applyFill="1" applyBorder="1" applyAlignment="1">
      <alignment vertical="center"/>
    </xf>
    <xf numFmtId="0" fontId="7" fillId="0" borderId="94" xfId="0" applyFont="1" applyBorder="1" applyAlignment="1">
      <alignment horizontal="right" vertical="center"/>
    </xf>
    <xf numFmtId="0" fontId="7" fillId="0" borderId="18" xfId="0" applyFont="1" applyBorder="1" applyAlignment="1">
      <alignment horizontal="right" vertical="center"/>
    </xf>
    <xf numFmtId="0" fontId="0" fillId="0" borderId="82" xfId="0" applyBorder="1" applyAlignment="1">
      <alignment vertical="center"/>
    </xf>
    <xf numFmtId="0" fontId="0" fillId="0" borderId="19" xfId="0" applyBorder="1" applyAlignment="1">
      <alignment vertical="center"/>
    </xf>
    <xf numFmtId="0" fontId="2" fillId="0" borderId="14" xfId="0" applyFont="1" applyFill="1" applyBorder="1" applyAlignment="1">
      <alignment vertical="center"/>
    </xf>
    <xf numFmtId="0" fontId="0" fillId="0" borderId="125" xfId="0" applyFill="1" applyBorder="1" applyAlignment="1">
      <alignment vertical="center"/>
    </xf>
    <xf numFmtId="0" fontId="0" fillId="0" borderId="18" xfId="0" applyFont="1" applyFill="1" applyBorder="1" applyAlignment="1">
      <alignment vertical="top"/>
    </xf>
    <xf numFmtId="0" fontId="2" fillId="11" borderId="21" xfId="0" applyFont="1" applyFill="1" applyBorder="1" applyAlignment="1">
      <alignment vertical="top"/>
    </xf>
    <xf numFmtId="165" fontId="7" fillId="0" borderId="0" xfId="2" applyNumberFormat="1" applyFont="1" applyBorder="1" applyAlignment="1">
      <alignment horizontal="center" vertical="center"/>
    </xf>
    <xf numFmtId="44" fontId="0" fillId="0" borderId="0" xfId="1" applyFont="1" applyBorder="1" applyAlignment="1">
      <alignment horizontal="left" vertical="center"/>
    </xf>
    <xf numFmtId="5" fontId="13" fillId="11" borderId="29" xfId="1" applyNumberFormat="1" applyFont="1" applyFill="1" applyBorder="1" applyAlignment="1">
      <alignment horizontal="right" vertical="center"/>
    </xf>
    <xf numFmtId="5" fontId="13" fillId="12" borderId="29" xfId="1" applyNumberFormat="1" applyFont="1" applyFill="1" applyBorder="1" applyAlignment="1">
      <alignment horizontal="right" vertical="center"/>
    </xf>
    <xf numFmtId="43" fontId="0" fillId="0" borderId="0" xfId="3" applyFont="1" applyBorder="1" applyAlignment="1">
      <alignment horizontal="left" vertical="center"/>
    </xf>
    <xf numFmtId="43" fontId="0" fillId="0" borderId="0" xfId="3" applyNumberFormat="1" applyFont="1" applyBorder="1" applyAlignment="1">
      <alignment wrapText="1"/>
    </xf>
    <xf numFmtId="0" fontId="2" fillId="0" borderId="0" xfId="0" applyFont="1" applyBorder="1" applyAlignment="1">
      <alignment vertical="center"/>
    </xf>
    <xf numFmtId="5" fontId="7" fillId="0" borderId="5"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8" fillId="12" borderId="28" xfId="1" applyNumberFormat="1" applyFont="1" applyFill="1" applyBorder="1" applyAlignment="1">
      <alignment horizontal="right" vertical="center"/>
    </xf>
    <xf numFmtId="0" fontId="2" fillId="0" borderId="29" xfId="0" applyFont="1" applyBorder="1" applyAlignment="1">
      <alignment vertical="center" wrapText="1"/>
    </xf>
    <xf numFmtId="13" fontId="8" fillId="0" borderId="0" xfId="0" applyNumberFormat="1" applyFont="1" applyFill="1" applyBorder="1" applyAlignment="1">
      <alignment vertical="center" wrapText="1"/>
    </xf>
    <xf numFmtId="165" fontId="2" fillId="0" borderId="0" xfId="2" applyNumberFormat="1" applyFont="1" applyFill="1" applyAlignment="1">
      <alignment horizontal="right" vertical="center"/>
    </xf>
    <xf numFmtId="0" fontId="2" fillId="0" borderId="0" xfId="0" applyFont="1" applyFill="1" applyAlignment="1">
      <alignment horizontal="center" vertical="center"/>
    </xf>
    <xf numFmtId="5" fontId="0" fillId="15" borderId="28" xfId="0" applyNumberFormat="1" applyFill="1" applyBorder="1" applyAlignment="1">
      <alignment vertical="center"/>
    </xf>
    <xf numFmtId="5" fontId="15" fillId="15" borderId="31" xfId="0" applyNumberFormat="1" applyFont="1" applyFill="1" applyBorder="1" applyAlignment="1">
      <alignment vertical="center"/>
    </xf>
    <xf numFmtId="5" fontId="7" fillId="15" borderId="29" xfId="0" applyNumberFormat="1" applyFont="1" applyFill="1" applyBorder="1" applyAlignment="1">
      <alignment horizontal="right" vertical="center"/>
    </xf>
    <xf numFmtId="0" fontId="0" fillId="15" borderId="29" xfId="0" applyFill="1" applyBorder="1" applyAlignment="1">
      <alignment vertical="center"/>
    </xf>
    <xf numFmtId="9" fontId="15" fillId="15" borderId="29" xfId="2" applyNumberFormat="1" applyFont="1" applyFill="1" applyBorder="1" applyAlignment="1">
      <alignment vertical="center"/>
    </xf>
    <xf numFmtId="165" fontId="15" fillId="15" borderId="29" xfId="0" applyNumberFormat="1" applyFont="1" applyFill="1" applyBorder="1" applyAlignment="1">
      <alignment vertical="center"/>
    </xf>
    <xf numFmtId="5" fontId="8" fillId="15" borderId="29" xfId="0" applyNumberFormat="1" applyFont="1" applyFill="1" applyBorder="1" applyAlignment="1">
      <alignment horizontal="right" vertical="center"/>
    </xf>
    <xf numFmtId="5" fontId="7" fillId="15" borderId="29" xfId="1" applyNumberFormat="1" applyFont="1" applyFill="1" applyBorder="1" applyAlignment="1">
      <alignment horizontal="right" vertical="center"/>
    </xf>
    <xf numFmtId="5" fontId="2" fillId="15" borderId="29" xfId="0" applyNumberFormat="1" applyFont="1" applyFill="1" applyBorder="1" applyAlignment="1">
      <alignment horizontal="right" vertical="center"/>
    </xf>
    <xf numFmtId="10" fontId="15" fillId="15" borderId="29" xfId="2" applyNumberFormat="1" applyFont="1" applyFill="1" applyBorder="1" applyAlignment="1">
      <alignment horizontal="right" vertical="center"/>
    </xf>
    <xf numFmtId="5" fontId="2" fillId="15" borderId="31" xfId="0" applyNumberFormat="1" applyFont="1" applyFill="1" applyBorder="1" applyAlignment="1">
      <alignment vertical="center"/>
    </xf>
    <xf numFmtId="5" fontId="8" fillId="15" borderId="28" xfId="1" applyNumberFormat="1" applyFont="1" applyFill="1" applyBorder="1" applyAlignment="1">
      <alignment horizontal="right" vertical="center"/>
    </xf>
    <xf numFmtId="5" fontId="13" fillId="15" borderId="29" xfId="1" applyNumberFormat="1" applyFont="1" applyFill="1" applyBorder="1" applyAlignment="1">
      <alignment horizontal="right" vertical="center"/>
    </xf>
    <xf numFmtId="5" fontId="15" fillId="15" borderId="29" xfId="1" applyNumberFormat="1" applyFont="1" applyFill="1" applyBorder="1" applyAlignment="1">
      <alignment horizontal="right" vertical="center"/>
    </xf>
    <xf numFmtId="5" fontId="8" fillId="15" borderId="29" xfId="1" applyNumberFormat="1" applyFont="1" applyFill="1" applyBorder="1" applyAlignment="1">
      <alignment horizontal="right" vertical="center"/>
    </xf>
    <xf numFmtId="9" fontId="15" fillId="15" borderId="28" xfId="0" applyNumberFormat="1" applyFont="1" applyFill="1" applyBorder="1" applyAlignment="1">
      <alignment vertical="center"/>
    </xf>
    <xf numFmtId="5" fontId="7" fillId="15" borderId="29" xfId="0" applyNumberFormat="1" applyFont="1" applyFill="1" applyBorder="1" applyAlignment="1">
      <alignment vertical="center"/>
    </xf>
    <xf numFmtId="165" fontId="7" fillId="15" borderId="29" xfId="2" applyNumberFormat="1" applyFont="1" applyFill="1" applyBorder="1" applyAlignment="1">
      <alignment vertical="center"/>
    </xf>
    <xf numFmtId="165" fontId="15" fillId="15" borderId="29" xfId="2" applyNumberFormat="1" applyFont="1" applyFill="1" applyBorder="1" applyAlignment="1">
      <alignment vertical="center"/>
    </xf>
    <xf numFmtId="5" fontId="8" fillId="15" borderId="31" xfId="0" applyNumberFormat="1" applyFont="1" applyFill="1" applyBorder="1" applyAlignment="1">
      <alignment vertical="center"/>
    </xf>
    <xf numFmtId="165" fontId="15" fillId="15" borderId="28" xfId="0" applyNumberFormat="1" applyFont="1" applyFill="1" applyBorder="1" applyAlignment="1">
      <alignment vertical="center"/>
    </xf>
    <xf numFmtId="165" fontId="7" fillId="15" borderId="29" xfId="0" applyNumberFormat="1" applyFont="1" applyFill="1" applyBorder="1" applyAlignment="1">
      <alignment vertical="center"/>
    </xf>
    <xf numFmtId="5" fontId="0" fillId="15" borderId="29" xfId="0" applyNumberFormat="1" applyFill="1" applyBorder="1" applyAlignment="1">
      <alignment vertical="center"/>
    </xf>
    <xf numFmtId="5" fontId="15" fillId="15" borderId="28" xfId="0" applyNumberFormat="1" applyFont="1" applyFill="1" applyBorder="1" applyAlignment="1">
      <alignment vertical="center"/>
    </xf>
    <xf numFmtId="5" fontId="15" fillId="15" borderId="29" xfId="0" applyNumberFormat="1" applyFont="1" applyFill="1" applyBorder="1" applyAlignment="1">
      <alignment vertical="center"/>
    </xf>
    <xf numFmtId="5" fontId="2" fillId="15" borderId="7" xfId="0" applyNumberFormat="1" applyFont="1" applyFill="1" applyBorder="1" applyAlignment="1">
      <alignment vertical="center"/>
    </xf>
    <xf numFmtId="0" fontId="2" fillId="12" borderId="85" xfId="0" applyFont="1" applyFill="1" applyBorder="1" applyAlignment="1">
      <alignment horizontal="center" vertical="center" wrapText="1"/>
    </xf>
    <xf numFmtId="5" fontId="8" fillId="12" borderId="85" xfId="1" applyNumberFormat="1" applyFont="1" applyFill="1" applyBorder="1" applyAlignment="1">
      <alignment horizontal="center" vertical="center"/>
    </xf>
    <xf numFmtId="5" fontId="8" fillId="12" borderId="89" xfId="1" applyNumberFormat="1" applyFont="1" applyFill="1" applyBorder="1" applyAlignment="1">
      <alignment horizontal="center" vertical="center"/>
    </xf>
    <xf numFmtId="0" fontId="0" fillId="12" borderId="56" xfId="0" applyFill="1" applyBorder="1" applyAlignment="1">
      <alignment vertical="center"/>
    </xf>
    <xf numFmtId="0" fontId="0" fillId="12" borderId="57" xfId="0" applyFill="1" applyBorder="1" applyAlignment="1">
      <alignment vertical="center"/>
    </xf>
    <xf numFmtId="5" fontId="13" fillId="12" borderId="85" xfId="1" applyNumberFormat="1" applyFont="1" applyFill="1" applyBorder="1" applyAlignment="1">
      <alignment horizontal="center" vertical="center"/>
    </xf>
    <xf numFmtId="0" fontId="2" fillId="12" borderId="55" xfId="0" applyFont="1" applyFill="1" applyBorder="1" applyAlignment="1">
      <alignment vertical="center"/>
    </xf>
    <xf numFmtId="5" fontId="8" fillId="12" borderId="93" xfId="1" applyNumberFormat="1" applyFont="1" applyFill="1" applyBorder="1" applyAlignment="1">
      <alignment vertical="center"/>
    </xf>
    <xf numFmtId="0" fontId="0" fillId="0" borderId="127" xfId="0" applyBorder="1" applyAlignment="1">
      <alignment vertical="center"/>
    </xf>
    <xf numFmtId="0" fontId="0" fillId="0" borderId="129" xfId="0" applyBorder="1" applyAlignment="1">
      <alignment vertical="center"/>
    </xf>
    <xf numFmtId="5" fontId="8" fillId="11" borderId="95" xfId="1" applyNumberFormat="1" applyFont="1" applyFill="1" applyBorder="1" applyAlignment="1">
      <alignment vertical="center"/>
    </xf>
    <xf numFmtId="5" fontId="2" fillId="11" borderId="21" xfId="1" applyNumberFormat="1" applyFont="1" applyFill="1" applyBorder="1" applyAlignment="1">
      <alignment vertical="center"/>
    </xf>
    <xf numFmtId="0" fontId="2" fillId="0" borderId="79" xfId="0" applyFont="1" applyFill="1" applyBorder="1" applyAlignment="1">
      <alignment vertical="center"/>
    </xf>
    <xf numFmtId="0" fontId="2" fillId="0" borderId="80" xfId="0" applyFont="1" applyFill="1" applyBorder="1" applyAlignment="1">
      <alignment vertical="top"/>
    </xf>
    <xf numFmtId="5" fontId="8" fillId="12" borderId="80" xfId="1" applyNumberFormat="1" applyFont="1" applyFill="1" applyBorder="1" applyAlignment="1">
      <alignment vertical="center"/>
    </xf>
    <xf numFmtId="5" fontId="2" fillId="12" borderId="80" xfId="1" applyNumberFormat="1" applyFont="1" applyFill="1" applyBorder="1" applyAlignment="1">
      <alignment vertical="center"/>
    </xf>
    <xf numFmtId="0" fontId="0" fillId="0" borderId="56" xfId="0" applyBorder="1" applyAlignment="1">
      <alignment vertical="center"/>
    </xf>
    <xf numFmtId="0" fontId="0" fillId="0" borderId="57" xfId="0" applyBorder="1" applyAlignment="1">
      <alignment vertical="center"/>
    </xf>
    <xf numFmtId="5" fontId="8" fillId="12" borderId="85" xfId="1" applyNumberFormat="1" applyFont="1" applyFill="1" applyBorder="1" applyAlignment="1">
      <alignment vertical="center"/>
    </xf>
    <xf numFmtId="5" fontId="8" fillId="12" borderId="114" xfId="1" applyNumberFormat="1" applyFont="1" applyFill="1" applyBorder="1" applyAlignment="1">
      <alignment vertical="center"/>
    </xf>
    <xf numFmtId="5" fontId="8" fillId="12" borderId="108" xfId="1" applyNumberFormat="1" applyFont="1" applyFill="1" applyBorder="1" applyAlignment="1">
      <alignment vertical="center"/>
    </xf>
    <xf numFmtId="164" fontId="0" fillId="0" borderId="0" xfId="1" applyNumberFormat="1" applyFont="1"/>
    <xf numFmtId="0" fontId="0" fillId="0" borderId="0" xfId="0" applyAlignment="1">
      <alignment horizontal="center" wrapText="1"/>
    </xf>
    <xf numFmtId="0" fontId="0" fillId="0" borderId="0" xfId="0" applyAlignment="1">
      <alignment horizontal="center"/>
    </xf>
    <xf numFmtId="9" fontId="0" fillId="0" borderId="0" xfId="0" applyNumberFormat="1"/>
    <xf numFmtId="0" fontId="0" fillId="0" borderId="0" xfId="0" applyAlignment="1">
      <alignment horizontal="right"/>
    </xf>
    <xf numFmtId="9" fontId="15" fillId="0" borderId="0" xfId="0" applyNumberFormat="1" applyFont="1" applyAlignment="1">
      <alignment wrapText="1"/>
    </xf>
    <xf numFmtId="9" fontId="15" fillId="0" borderId="0" xfId="0" applyNumberFormat="1" applyFont="1"/>
    <xf numFmtId="167" fontId="15" fillId="0" borderId="0" xfId="3" applyNumberFormat="1" applyFont="1"/>
    <xf numFmtId="9" fontId="0" fillId="0" borderId="0" xfId="2" applyFont="1" applyBorder="1"/>
    <xf numFmtId="167" fontId="2" fillId="0" borderId="0" xfId="0" applyNumberFormat="1" applyFont="1" applyBorder="1"/>
    <xf numFmtId="9" fontId="2" fillId="0" borderId="0" xfId="2" applyFont="1" applyBorder="1"/>
    <xf numFmtId="0" fontId="2" fillId="0" borderId="0" xfId="0" applyFont="1"/>
    <xf numFmtId="13" fontId="0" fillId="0" borderId="0" xfId="3" applyNumberFormat="1" applyFont="1"/>
    <xf numFmtId="44" fontId="0" fillId="0" borderId="33" xfId="1" applyNumberFormat="1" applyFont="1" applyBorder="1" applyAlignment="1">
      <alignment horizontal="center" vertical="center"/>
    </xf>
    <xf numFmtId="44" fontId="0" fillId="0" borderId="0" xfId="1" applyNumberFormat="1" applyFont="1" applyFill="1" applyAlignment="1">
      <alignment horizontal="center" vertical="center"/>
    </xf>
    <xf numFmtId="10" fontId="0" fillId="0" borderId="0" xfId="2" applyNumberFormat="1" applyFont="1" applyAlignment="1">
      <alignment horizontal="center" vertical="center"/>
    </xf>
    <xf numFmtId="0" fontId="0" fillId="0" borderId="0" xfId="0" applyBorder="1" applyAlignment="1">
      <alignment horizontal="center"/>
    </xf>
    <xf numFmtId="164" fontId="12" fillId="0" borderId="103" xfId="1" applyNumberFormat="1" applyFont="1" applyBorder="1" applyAlignment="1">
      <alignment vertical="center"/>
    </xf>
    <xf numFmtId="164" fontId="48" fillId="0" borderId="103" xfId="1" applyNumberFormat="1" applyFont="1" applyBorder="1" applyAlignment="1">
      <alignment vertical="center"/>
    </xf>
    <xf numFmtId="0" fontId="15" fillId="0" borderId="46" xfId="0" applyFont="1" applyBorder="1"/>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7" fillId="0" borderId="33" xfId="1" applyNumberFormat="1" applyFont="1" applyBorder="1" applyAlignment="1">
      <alignment horizontal="left"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2" fillId="8" borderId="34" xfId="1" quotePrefix="1" applyNumberFormat="1" applyFont="1" applyFill="1" applyBorder="1" applyAlignment="1">
      <alignment horizontal="center" vertical="center" wrapText="1"/>
    </xf>
    <xf numFmtId="164" fontId="0" fillId="0" borderId="18" xfId="1" applyNumberFormat="1" applyFont="1" applyBorder="1" applyAlignment="1">
      <alignment horizontal="left" vertical="center" wrapText="1"/>
    </xf>
    <xf numFmtId="164" fontId="0" fillId="0" borderId="0" xfId="1" applyNumberFormat="1" applyFont="1" applyBorder="1" applyAlignment="1">
      <alignment horizontal="left" vertical="center" wrapText="1"/>
    </xf>
    <xf numFmtId="165" fontId="0" fillId="0" borderId="34" xfId="2" applyNumberFormat="1" applyFont="1" applyBorder="1" applyAlignment="1">
      <alignment horizontal="left" vertical="top" wrapText="1"/>
    </xf>
    <xf numFmtId="165" fontId="0" fillId="0" borderId="32" xfId="2" applyNumberFormat="1" applyFont="1" applyBorder="1" applyAlignment="1">
      <alignment horizontal="left" vertical="top" wrapText="1"/>
    </xf>
    <xf numFmtId="164" fontId="0" fillId="11" borderId="0" xfId="1" applyNumberFormat="1" applyFont="1" applyFill="1" applyAlignment="1">
      <alignment horizontal="left" vertical="center" wrapText="1"/>
    </xf>
    <xf numFmtId="164" fontId="0" fillId="11" borderId="0" xfId="1" applyNumberFormat="1" applyFont="1" applyFill="1" applyAlignment="1">
      <alignment horizontal="left" vertical="top" wrapText="1"/>
    </xf>
    <xf numFmtId="164" fontId="0" fillId="0" borderId="0" xfId="1" applyNumberFormat="1" applyFont="1" applyAlignment="1">
      <alignment horizontal="left" vertical="top"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167" fontId="25" fillId="11" borderId="18" xfId="0" applyNumberFormat="1"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105" xfId="0" applyFont="1" applyBorder="1" applyAlignment="1">
      <alignment horizontal="left" vertical="top" wrapText="1"/>
    </xf>
    <xf numFmtId="0" fontId="22" fillId="0" borderId="24" xfId="0" applyFont="1" applyBorder="1" applyAlignment="1">
      <alignment horizontal="left" vertical="top" wrapText="1"/>
    </xf>
    <xf numFmtId="0" fontId="22" fillId="0" borderId="22" xfId="0" applyFont="1" applyBorder="1" applyAlignment="1">
      <alignment horizontal="left" vertical="top"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2" fillId="0" borderId="82" xfId="0" applyFont="1" applyBorder="1" applyAlignment="1">
      <alignment horizontal="left" vertical="top" wrapText="1"/>
    </xf>
    <xf numFmtId="0" fontId="25" fillId="11" borderId="18" xfId="0" applyFont="1" applyFill="1" applyBorder="1" applyAlignment="1">
      <alignment horizontal="center" vertical="center"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21" xfId="0" applyFont="1" applyBorder="1" applyAlignment="1">
      <alignment horizontal="left" vertical="top" wrapText="1"/>
    </xf>
    <xf numFmtId="0" fontId="22" fillId="0" borderId="19"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1" fillId="0" borderId="0" xfId="0" applyFont="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2" borderId="55" xfId="0" applyFont="1" applyFill="1" applyBorder="1" applyAlignment="1">
      <alignment horizontal="center" vertical="center"/>
    </xf>
    <xf numFmtId="0" fontId="2" fillId="12"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2" borderId="55" xfId="0" applyFont="1" applyFill="1" applyBorder="1" applyAlignment="1">
      <alignment horizontal="left" vertical="center"/>
    </xf>
    <xf numFmtId="0" fontId="2" fillId="12" borderId="56" xfId="0" applyFont="1" applyFill="1" applyBorder="1" applyAlignment="1">
      <alignment horizontal="left" vertical="center"/>
    </xf>
    <xf numFmtId="0" fontId="2" fillId="11" borderId="126" xfId="0" applyFont="1" applyFill="1" applyBorder="1" applyAlignment="1">
      <alignment horizontal="left" vertical="center"/>
    </xf>
    <xf numFmtId="0" fontId="2" fillId="11" borderId="127" xfId="0" applyFont="1" applyFill="1" applyBorder="1" applyAlignment="1">
      <alignment horizontal="left" vertical="center"/>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 fillId="0" borderId="0" xfId="0" applyFont="1" applyBorder="1" applyAlignment="1">
      <alignment horizontal="left" vertical="top" wrapText="1"/>
    </xf>
    <xf numFmtId="0" fontId="2" fillId="0" borderId="46" xfId="0" applyFont="1" applyBorder="1" applyAlignment="1">
      <alignment horizontal="left" vertical="top" wrapText="1"/>
    </xf>
    <xf numFmtId="0" fontId="2" fillId="0" borderId="8" xfId="0" applyFont="1" applyBorder="1" applyAlignment="1">
      <alignment horizontal="left" vertical="top" wrapText="1"/>
    </xf>
    <xf numFmtId="0" fontId="2" fillId="0" borderId="48" xfId="0" applyFont="1" applyBorder="1" applyAlignment="1">
      <alignment horizontal="left" vertical="top" wrapText="1"/>
    </xf>
    <xf numFmtId="0" fontId="2" fillId="11" borderId="128" xfId="0" applyFont="1" applyFill="1" applyBorder="1" applyAlignment="1">
      <alignment horizontal="left" vertical="center"/>
    </xf>
    <xf numFmtId="0" fontId="2" fillId="0" borderId="123" xfId="0" applyFont="1" applyBorder="1" applyAlignment="1">
      <alignment horizontal="center" vertical="center" textRotation="90" wrapText="1"/>
    </xf>
    <xf numFmtId="0" fontId="2" fillId="0" borderId="116" xfId="0" applyFont="1" applyBorder="1" applyAlignment="1">
      <alignment horizontal="center" vertical="center" textRotation="90" wrapText="1"/>
    </xf>
    <xf numFmtId="0" fontId="2" fillId="0" borderId="124" xfId="0" applyFont="1" applyBorder="1" applyAlignment="1">
      <alignment horizontal="center" vertical="center" textRotation="90"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2" fillId="11" borderId="79" xfId="0" applyFont="1" applyFill="1" applyBorder="1" applyAlignment="1">
      <alignment horizontal="left" vertical="center"/>
    </xf>
    <xf numFmtId="0" fontId="2" fillId="11" borderId="80" xfId="0" applyFont="1" applyFill="1" applyBorder="1" applyAlignment="1">
      <alignment horizontal="left" vertical="center"/>
    </xf>
    <xf numFmtId="0" fontId="0" fillId="0" borderId="29" xfId="0" applyFill="1" applyBorder="1" applyAlignment="1">
      <alignment horizontal="left" vertical="center" wrapText="1"/>
    </xf>
    <xf numFmtId="5" fontId="8" fillId="0" borderId="79" xfId="0" applyNumberFormat="1" applyFont="1" applyFill="1" applyBorder="1" applyAlignment="1">
      <alignment horizontal="center" vertical="center"/>
    </xf>
    <xf numFmtId="5" fontId="8" fillId="0" borderId="80"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2" fillId="15" borderId="28"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12" borderId="28" xfId="0" applyFont="1" applyFill="1" applyBorder="1" applyAlignment="1">
      <alignment horizontal="center" vertical="center" wrapText="1"/>
    </xf>
    <xf numFmtId="0" fontId="2" fillId="12" borderId="31" xfId="0" applyFont="1" applyFill="1"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vertical="top" wrapText="1"/>
    </xf>
    <xf numFmtId="0" fontId="6" fillId="0" borderId="0" xfId="0" applyFont="1" applyAlignment="1">
      <alignment horizontal="center"/>
    </xf>
    <xf numFmtId="5" fontId="40" fillId="0" borderId="0" xfId="0" applyNumberFormat="1" applyFont="1" applyAlignment="1">
      <alignment horizont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0" xfId="0"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5" fillId="0" borderId="0" xfId="0" applyFont="1" applyBorder="1" applyAlignment="1">
      <alignment horizontal="center" vertical="center" textRotation="90" wrapText="1"/>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47" fillId="0" borderId="0" xfId="0" applyFont="1" applyAlignment="1">
      <alignment horizontal="center" vertical="center"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99FFCC"/>
      <color rgb="FFFFFFCC"/>
      <color rgb="FFFFCC66"/>
      <color rgb="FFFFCCFF"/>
      <color rgb="FFFF99FF"/>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Year'!$AE$4:$AH$4</c:f>
            </c:multiLvlStrRef>
          </c:cat>
          <c:val>
            <c:numRef>
              <c:f>'New Year-Full Year'!$AE$168:$AH$168</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539750</xdr:colOff>
      <xdr:row>170</xdr:row>
      <xdr:rowOff>6350</xdr:rowOff>
    </xdr:from>
    <xdr:to>
      <xdr:col>35</xdr:col>
      <xdr:colOff>82550</xdr:colOff>
      <xdr:row>194</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abSelected="1" topLeftCell="B14" workbookViewId="0">
      <selection activeCell="C32" sqref="C32"/>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1136" t="s">
        <v>83</v>
      </c>
      <c r="C1" s="1136"/>
      <c r="D1" s="1136"/>
      <c r="E1" s="1136"/>
      <c r="F1" s="1136"/>
      <c r="G1" s="1136"/>
      <c r="H1" s="1136"/>
      <c r="I1" s="1136"/>
      <c r="J1" s="1136"/>
      <c r="K1" s="1136"/>
      <c r="L1" s="1136"/>
    </row>
    <row r="2" spans="1:12" ht="8.25" customHeight="1" x14ac:dyDescent="0.35">
      <c r="B2" s="1137"/>
      <c r="C2" s="1137"/>
      <c r="D2" s="1137"/>
      <c r="E2" s="1137"/>
      <c r="F2" s="1137"/>
      <c r="G2" s="1137"/>
      <c r="H2" s="1137"/>
      <c r="I2" s="1137"/>
      <c r="J2" s="1137"/>
      <c r="K2" s="1137"/>
      <c r="L2" s="1137"/>
    </row>
    <row r="3" spans="1:12" ht="18" customHeight="1" x14ac:dyDescent="0.35">
      <c r="E3" s="1141" t="s">
        <v>82</v>
      </c>
      <c r="F3" s="1142"/>
      <c r="G3" s="1142"/>
      <c r="H3" s="1143"/>
      <c r="J3" s="1138" t="str">
        <f>+'New Year-Full Year'!U2</f>
        <v>2022 Year to Date (YTD)</v>
      </c>
      <c r="K3" s="1139"/>
      <c r="L3" s="1140"/>
    </row>
    <row r="4" spans="1:12" ht="25.5" customHeight="1" x14ac:dyDescent="0.35">
      <c r="E4" s="1149" t="str">
        <f>+'New Year-Full Year'!P3</f>
        <v>2023 Budget</v>
      </c>
      <c r="F4" s="1147" t="str">
        <f>+'New Year-Full Year'!Q3</f>
        <v>2022 Budget</v>
      </c>
      <c r="G4" s="1145" t="str">
        <f>Bud_Yr&amp;" Budget vs "&amp;Bud_Yr-1&amp;" Budget"</f>
        <v>2023 Budget vs 2022 Budget</v>
      </c>
      <c r="H4" s="1146"/>
      <c r="J4" s="1149" t="str">
        <f>+'New Year-Full Year'!U3</f>
        <v>October 2022 YTD Actual</v>
      </c>
      <c r="K4" s="1147" t="str">
        <f>+'New Year-Full Year'!V3</f>
        <v>October 2022 YTD Budget</v>
      </c>
      <c r="L4" s="1151" t="s">
        <v>81</v>
      </c>
    </row>
    <row r="5" spans="1:12" s="2" customFormat="1" x14ac:dyDescent="0.35">
      <c r="A5" s="43"/>
      <c r="E5" s="1150"/>
      <c r="F5" s="1148"/>
      <c r="G5" s="535" t="s">
        <v>108</v>
      </c>
      <c r="H5" s="50" t="s">
        <v>109</v>
      </c>
      <c r="J5" s="1150"/>
      <c r="K5" s="1148"/>
      <c r="L5" s="1152"/>
    </row>
    <row r="6" spans="1:12" s="2" customFormat="1" ht="19.5" customHeight="1" x14ac:dyDescent="0.35">
      <c r="A6" s="43"/>
      <c r="B6" s="6" t="s">
        <v>0</v>
      </c>
      <c r="E6" s="7"/>
      <c r="F6" s="39"/>
      <c r="G6" s="39"/>
      <c r="H6" s="39"/>
      <c r="J6" s="39"/>
      <c r="K6" s="39"/>
      <c r="L6" s="39"/>
    </row>
    <row r="7" spans="1:12" ht="19.5" customHeight="1" x14ac:dyDescent="0.35">
      <c r="A7" s="42">
        <v>1</v>
      </c>
      <c r="B7" s="868" t="str">
        <f>+'New Year-Full Year'!B6</f>
        <v>Envelope Giving</v>
      </c>
    </row>
    <row r="8" spans="1:12" x14ac:dyDescent="0.35">
      <c r="A8" s="42">
        <v>2</v>
      </c>
      <c r="C8" s="1" t="str">
        <f>+'New Year-Full Year'!C7</f>
        <v>Envelope Giving</v>
      </c>
      <c r="E8" s="37">
        <f>+'New Year-Full Year'!P7</f>
        <v>400000</v>
      </c>
      <c r="F8" s="37">
        <f>+'New Year-Full Year'!Q7</f>
        <v>445000</v>
      </c>
      <c r="G8" s="37">
        <f t="shared" ref="G8:G13" si="0">+E8-F8</f>
        <v>-45000</v>
      </c>
      <c r="H8" s="3">
        <f t="shared" ref="H8:H14" si="1">IF(F8=0,"NA",(+E8-F8)/F8)</f>
        <v>-0.10112359550561797</v>
      </c>
      <c r="J8" s="37">
        <f>+'New Year-Full Year'!U7</f>
        <v>370612.5</v>
      </c>
      <c r="K8" s="37">
        <f>+'New Year-Full Year'!V7</f>
        <v>372510.77</v>
      </c>
      <c r="L8" s="3">
        <f t="shared" ref="L8:L14" si="2">IF(K8=0,"NA",(+J8-K8)/K8)</f>
        <v>-5.0958795097387887E-3</v>
      </c>
    </row>
    <row r="9" spans="1:12" hidden="1" x14ac:dyDescent="0.35">
      <c r="C9" s="1" t="str">
        <f>+'New Year-Full Year'!C9</f>
        <v>Advent Offerings</v>
      </c>
      <c r="E9" s="37">
        <f>+'New Year-Full Year'!P9</f>
        <v>0</v>
      </c>
      <c r="F9" s="37">
        <f>+'New Year-Full Year'!Q9</f>
        <v>0</v>
      </c>
      <c r="G9" s="37">
        <f t="shared" si="0"/>
        <v>0</v>
      </c>
      <c r="H9" s="3" t="str">
        <f>IF(F9=0,"NA",(+E9-F9)/F9)</f>
        <v>NA</v>
      </c>
      <c r="J9" s="37">
        <f>+'New Year-Full Year'!U9</f>
        <v>0</v>
      </c>
      <c r="K9" s="37">
        <f>+'New Year-Full Year'!V9</f>
        <v>0</v>
      </c>
      <c r="L9" s="3" t="str">
        <f>IF(K9=0,"NA",(+J9-K9)/K9)</f>
        <v>NA</v>
      </c>
    </row>
    <row r="10" spans="1:12" x14ac:dyDescent="0.35">
      <c r="A10" s="42">
        <v>4</v>
      </c>
      <c r="C10" s="1" t="str">
        <f>+'New Year-Full Year'!C10</f>
        <v>Easter Offerings</v>
      </c>
      <c r="E10" s="37">
        <f>+'New Year-Full Year'!P10</f>
        <v>3000</v>
      </c>
      <c r="F10" s="37">
        <f>+'New Year-Full Year'!Q10</f>
        <v>2000</v>
      </c>
      <c r="G10" s="37">
        <f t="shared" si="0"/>
        <v>1000</v>
      </c>
      <c r="H10" s="3">
        <f t="shared" si="1"/>
        <v>0.5</v>
      </c>
      <c r="J10" s="37">
        <f>+'New Year-Full Year'!U10</f>
        <v>3541</v>
      </c>
      <c r="K10" s="37">
        <f>+'New Year-Full Year'!V10</f>
        <v>2000</v>
      </c>
      <c r="L10" s="3">
        <f t="shared" si="2"/>
        <v>0.77049999999999996</v>
      </c>
    </row>
    <row r="11" spans="1:12" x14ac:dyDescent="0.35">
      <c r="A11" s="42">
        <v>5</v>
      </c>
      <c r="C11" s="1" t="str">
        <f>+'New Year-Full Year'!C11</f>
        <v>Thanksgiving Offerings</v>
      </c>
      <c r="E11" s="37">
        <f>+'New Year-Full Year'!P11</f>
        <v>500</v>
      </c>
      <c r="F11" s="37">
        <f>+'New Year-Full Year'!Q11</f>
        <v>500</v>
      </c>
      <c r="G11" s="37">
        <f t="shared" si="0"/>
        <v>0</v>
      </c>
      <c r="H11" s="3">
        <f t="shared" si="1"/>
        <v>0</v>
      </c>
      <c r="J11" s="37">
        <f>+'New Year-Full Year'!U11</f>
        <v>0</v>
      </c>
      <c r="K11" s="37">
        <f>+'New Year-Full Year'!V11</f>
        <v>0</v>
      </c>
      <c r="L11" s="3" t="str">
        <f t="shared" si="2"/>
        <v>NA</v>
      </c>
    </row>
    <row r="12" spans="1:12" x14ac:dyDescent="0.35">
      <c r="A12" s="42">
        <v>6</v>
      </c>
      <c r="C12" s="1" t="str">
        <f>+'New Year-Full Year'!C12</f>
        <v>Christmas Offerings</v>
      </c>
      <c r="E12" s="37">
        <f>+'New Year-Full Year'!P12</f>
        <v>5000</v>
      </c>
      <c r="F12" s="37">
        <f>+'New Year-Full Year'!Q12</f>
        <v>5000</v>
      </c>
      <c r="G12" s="37">
        <f t="shared" si="0"/>
        <v>0</v>
      </c>
      <c r="H12" s="3">
        <f t="shared" si="1"/>
        <v>0</v>
      </c>
      <c r="J12" s="37">
        <f>+'New Year-Full Year'!U12</f>
        <v>0</v>
      </c>
      <c r="K12" s="37">
        <f>+'New Year-Full Year'!V12</f>
        <v>0</v>
      </c>
      <c r="L12" s="3" t="str">
        <f t="shared" si="2"/>
        <v>NA</v>
      </c>
    </row>
    <row r="13" spans="1:12" x14ac:dyDescent="0.35">
      <c r="A13" s="42">
        <v>7</v>
      </c>
      <c r="C13" s="1" t="str">
        <f>+'New Year-Full Year'!C13</f>
        <v>Lenten Offerings</v>
      </c>
      <c r="E13" s="37">
        <f>+'New Year-Full Year'!P13</f>
        <v>1500</v>
      </c>
      <c r="F13" s="37">
        <f>+'New Year-Full Year'!Q13</f>
        <v>1500</v>
      </c>
      <c r="G13" s="37">
        <f t="shared" si="0"/>
        <v>0</v>
      </c>
      <c r="H13" s="3">
        <f t="shared" si="1"/>
        <v>0</v>
      </c>
      <c r="J13" s="37">
        <f>+'New Year-Full Year'!U13</f>
        <v>1886</v>
      </c>
      <c r="K13" s="37">
        <f>+'New Year-Full Year'!V13</f>
        <v>1500</v>
      </c>
      <c r="L13" s="3">
        <f t="shared" si="2"/>
        <v>0.25733333333333336</v>
      </c>
    </row>
    <row r="14" spans="1:12" x14ac:dyDescent="0.35">
      <c r="A14" s="42">
        <v>8</v>
      </c>
      <c r="B14" s="9" t="str">
        <f>+'New Year-Full Year'!B14</f>
        <v>Total Envelope Giving</v>
      </c>
      <c r="C14" s="9"/>
      <c r="D14" s="9"/>
      <c r="E14" s="9">
        <f>SUM(E8:E13)</f>
        <v>410000</v>
      </c>
      <c r="F14" s="9">
        <f>SUM(F8:F13)</f>
        <v>454000</v>
      </c>
      <c r="G14" s="9">
        <f>SUM(G8:G13)</f>
        <v>-44000</v>
      </c>
      <c r="H14" s="10">
        <f t="shared" si="1"/>
        <v>-9.6916299559471369E-2</v>
      </c>
      <c r="J14" s="9">
        <f>SUM(J8:J13)</f>
        <v>376039.5</v>
      </c>
      <c r="K14" s="9">
        <f>SUM(K8:K13)</f>
        <v>376010.77</v>
      </c>
      <c r="L14" s="10">
        <f t="shared" si="2"/>
        <v>7.6407385884136699E-5</v>
      </c>
    </row>
    <row r="15" spans="1:12" ht="19.5" customHeight="1" x14ac:dyDescent="0.35">
      <c r="A15" s="42">
        <v>10</v>
      </c>
      <c r="B15" s="868" t="s">
        <v>7</v>
      </c>
      <c r="H15" s="38"/>
    </row>
    <row r="16" spans="1:12" x14ac:dyDescent="0.35">
      <c r="A16" s="42">
        <v>11</v>
      </c>
      <c r="C16" s="1" t="str">
        <f>+'New Year-Full Year'!C16</f>
        <v>Loose Offerings &amp; Misc.</v>
      </c>
      <c r="E16" s="37">
        <f>+'New Year-Full Year'!P16</f>
        <v>6000</v>
      </c>
      <c r="F16" s="37">
        <f>+'New Year-Full Year'!Q16</f>
        <v>4000</v>
      </c>
      <c r="G16" s="37">
        <f>+E16-F16</f>
        <v>2000</v>
      </c>
      <c r="H16" s="3">
        <f>IF(F16=0,"NA",(+E16-F16)/F16)</f>
        <v>0.5</v>
      </c>
      <c r="J16" s="37">
        <f>+'New Year-Full Year'!U16</f>
        <v>6266.37</v>
      </c>
      <c r="K16" s="37">
        <f>+'New Year-Full Year'!V16</f>
        <v>3333.3</v>
      </c>
      <c r="L16" s="3">
        <f>IF(K16=0,"NA",(+J16-K16)/K16)</f>
        <v>0.87992979929799287</v>
      </c>
    </row>
    <row r="17" spans="1:12" hidden="1" x14ac:dyDescent="0.35">
      <c r="A17" s="42">
        <v>14</v>
      </c>
      <c r="C17" s="1" t="str">
        <f>+'New Year-Full Year'!C17</f>
        <v>Current Investment Income</v>
      </c>
      <c r="E17" s="37">
        <f>+'New Year-Full Year'!P17</f>
        <v>0</v>
      </c>
      <c r="F17" s="37">
        <f>+'New Year-Full Year'!Q17</f>
        <v>0</v>
      </c>
      <c r="G17" s="37">
        <f>+E17-F17</f>
        <v>0</v>
      </c>
      <c r="H17" s="3" t="str">
        <f>IF(F17=0,"NA",(+E17-F17)/F17)</f>
        <v>NA</v>
      </c>
      <c r="J17" s="37">
        <f>+'New Year-Full Year'!U17</f>
        <v>0.45</v>
      </c>
      <c r="K17" s="37">
        <f>+'New Year-Full Year'!V17</f>
        <v>0</v>
      </c>
      <c r="L17" s="3" t="str">
        <f>IF(K17=0,"NA",(+J17-K17)/K17)</f>
        <v>NA</v>
      </c>
    </row>
    <row r="18" spans="1:12" hidden="1" x14ac:dyDescent="0.35">
      <c r="A18" s="42">
        <v>15</v>
      </c>
      <c r="C18" s="1" t="str">
        <f>+'New Year-Full Year'!C18</f>
        <v>Clearing Account</v>
      </c>
      <c r="E18" s="37">
        <f>+'New Year-Full Year'!P18</f>
        <v>0</v>
      </c>
      <c r="F18" s="37">
        <f>+'New Year-Full Year'!Q18</f>
        <v>0</v>
      </c>
      <c r="G18" s="37"/>
      <c r="H18" s="3" t="str">
        <f>IF(F18=0,"NA",(+E18-F18)/F18)</f>
        <v>NA</v>
      </c>
      <c r="J18" s="37">
        <f>+'New Year-Full Year'!U18</f>
        <v>0</v>
      </c>
      <c r="K18" s="37">
        <f>+'New Year-Full Year'!V18</f>
        <v>0</v>
      </c>
      <c r="L18" s="3" t="str">
        <f>IF(K18=0,"NA",(+J18-K18)/K18)</f>
        <v>NA</v>
      </c>
    </row>
    <row r="19" spans="1:12" x14ac:dyDescent="0.35">
      <c r="A19" s="42">
        <v>16</v>
      </c>
      <c r="B19" s="9" t="str">
        <f>+'New Year-Full Year'!B19</f>
        <v>Total Misc Income</v>
      </c>
      <c r="C19" s="9"/>
      <c r="D19" s="9"/>
      <c r="E19" s="9">
        <f>SUM(E16:E18)</f>
        <v>6000</v>
      </c>
      <c r="F19" s="9">
        <f>SUM(F16:F18)</f>
        <v>4000</v>
      </c>
      <c r="G19" s="9">
        <f>SUM(G16:G18)</f>
        <v>2000</v>
      </c>
      <c r="H19" s="10">
        <f>IF(F19=0,"NA",(+E19-F19)/F19)</f>
        <v>0.5</v>
      </c>
      <c r="J19" s="9">
        <f>SUM(J16:J18)</f>
        <v>6266.82</v>
      </c>
      <c r="K19" s="9">
        <f>SUM(K16:K18)</f>
        <v>3333.3</v>
      </c>
      <c r="L19" s="10">
        <f>IF(K19=0,"NA",(+J19-K19)/K19)</f>
        <v>0.8800648006480063</v>
      </c>
    </row>
    <row r="20" spans="1:12" x14ac:dyDescent="0.35">
      <c r="B20" s="9" t="str">
        <f>+'New Year-Full Year'!B20</f>
        <v>TOTAL INCOME</v>
      </c>
      <c r="C20" s="9"/>
      <c r="D20" s="9"/>
      <c r="E20" s="9">
        <f>+E14+E19</f>
        <v>416000</v>
      </c>
      <c r="F20" s="9">
        <f>+F14+F19</f>
        <v>458000</v>
      </c>
      <c r="G20" s="9">
        <f>+G14+G19</f>
        <v>-42000</v>
      </c>
      <c r="H20" s="10">
        <f>IF(F20=0,"NA",(+E20-F20)/F20)</f>
        <v>-9.1703056768558958E-2</v>
      </c>
      <c r="J20" s="9">
        <f>+J14+J19</f>
        <v>382306.32</v>
      </c>
      <c r="K20" s="9">
        <f>+K14+K19</f>
        <v>379344.07</v>
      </c>
      <c r="L20" s="10">
        <f>IF(K20=0,"NA",(+J20-K20)/K20)</f>
        <v>7.8088738806435009E-3</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89" t="str">
        <f>+'New Year-Full Year'!C23</f>
        <v xml:space="preserve">Greater Milwaukee Synod </v>
      </c>
      <c r="E23" s="37">
        <f>+'New Year-Full Year'!P23</f>
        <v>18150</v>
      </c>
      <c r="F23" s="37">
        <f>+'New Year-Full Year'!Q23</f>
        <v>21000</v>
      </c>
      <c r="G23" s="37">
        <f>+E23-F23</f>
        <v>-2850</v>
      </c>
      <c r="H23" s="3">
        <f>IF(F23=0,"NA",(+E23-F23)/F23)</f>
        <v>-0.1357142857142857</v>
      </c>
      <c r="J23" s="37">
        <f>+'New Year-Full Year'!U23</f>
        <v>17500</v>
      </c>
      <c r="K23" s="37">
        <f>+'New Year-Full Year'!V23</f>
        <v>17500</v>
      </c>
      <c r="L23" s="3">
        <f>IF(K23=0,"NA",(+J23-K23)/K23)</f>
        <v>0</v>
      </c>
    </row>
    <row r="24" spans="1:12" ht="14.5" hidden="1" customHeight="1" x14ac:dyDescent="0.35">
      <c r="A24" s="6"/>
      <c r="B24" s="1"/>
      <c r="C24" s="389" t="str">
        <f>+'New Year-Full Year'!C24</f>
        <v>Holman's Ministry</v>
      </c>
      <c r="E24" s="37">
        <f>+'New Year-Full Year'!P24</f>
        <v>0</v>
      </c>
      <c r="F24" s="37">
        <f>+'New Year-Full Year'!Q24</f>
        <v>0</v>
      </c>
      <c r="G24" s="37">
        <f t="shared" ref="G24:G31" si="3">+E24-F24</f>
        <v>0</v>
      </c>
      <c r="H24" s="3" t="str">
        <f t="shared" ref="H24:H31" si="4">IF(F24=0,"NA",(+E24-F24)/F24)</f>
        <v>NA</v>
      </c>
      <c r="J24" s="37">
        <f>+'New Year-Full Year'!U24</f>
        <v>0</v>
      </c>
      <c r="K24" s="37">
        <f>+'New Year-Full Year'!V24</f>
        <v>0</v>
      </c>
      <c r="L24" s="3" t="str">
        <f t="shared" ref="L24:L31" si="5">IF(K24=0,"NA",(+J24-K24)/K24)</f>
        <v>NA</v>
      </c>
    </row>
    <row r="25" spans="1:12" ht="14.5" customHeight="1" x14ac:dyDescent="0.35">
      <c r="A25" s="6"/>
      <c r="B25" s="1"/>
      <c r="C25" s="389" t="str">
        <f>+'New Year-Full Year'!C25</f>
        <v>Lutherdale Bible Camp</v>
      </c>
      <c r="E25" s="37">
        <f>+'New Year-Full Year'!P25</f>
        <v>500</v>
      </c>
      <c r="F25" s="37">
        <f>+'New Year-Full Year'!Q25</f>
        <v>500</v>
      </c>
      <c r="G25" s="37">
        <f t="shared" si="3"/>
        <v>0</v>
      </c>
      <c r="H25" s="3">
        <f t="shared" si="4"/>
        <v>0</v>
      </c>
      <c r="J25" s="37">
        <f>+'New Year-Full Year'!U25</f>
        <v>375</v>
      </c>
      <c r="K25" s="37">
        <f>+'New Year-Full Year'!V25</f>
        <v>375</v>
      </c>
      <c r="L25" s="3">
        <f t="shared" si="5"/>
        <v>0</v>
      </c>
    </row>
    <row r="26" spans="1:12" ht="14.5" customHeight="1" x14ac:dyDescent="0.35">
      <c r="A26" s="6"/>
      <c r="B26" s="1"/>
      <c r="C26" s="389" t="str">
        <f>+'New Year-Full Year'!C26</f>
        <v>Racine Cluster (Living Faith Meal)</v>
      </c>
      <c r="E26" s="37">
        <f>+'New Year-Full Year'!P26</f>
        <v>1500</v>
      </c>
      <c r="F26" s="37">
        <f>+'New Year-Full Year'!Q26</f>
        <v>1500</v>
      </c>
      <c r="G26" s="37">
        <f t="shared" si="3"/>
        <v>0</v>
      </c>
      <c r="H26" s="3">
        <f t="shared" si="4"/>
        <v>0</v>
      </c>
      <c r="J26" s="37">
        <f>+'New Year-Full Year'!U26</f>
        <v>1125</v>
      </c>
      <c r="K26" s="37">
        <f>+'New Year-Full Year'!V26</f>
        <v>1125</v>
      </c>
      <c r="L26" s="3">
        <f t="shared" si="5"/>
        <v>0</v>
      </c>
    </row>
    <row r="27" spans="1:12" ht="14.5" customHeight="1" x14ac:dyDescent="0.35">
      <c r="A27" s="6"/>
      <c r="B27" s="1"/>
      <c r="C27" s="389" t="str">
        <f>+'New Year-Full Year'!C27</f>
        <v>Racine Interfaith Coalition</v>
      </c>
      <c r="E27" s="37">
        <f>+'New Year-Full Year'!P27</f>
        <v>750</v>
      </c>
      <c r="F27" s="37">
        <f>+'New Year-Full Year'!Q27</f>
        <v>750</v>
      </c>
      <c r="G27" s="37">
        <f t="shared" si="3"/>
        <v>0</v>
      </c>
      <c r="H27" s="3">
        <f t="shared" si="4"/>
        <v>0</v>
      </c>
      <c r="J27" s="37">
        <f>+'New Year-Full Year'!U27</f>
        <v>562.5</v>
      </c>
      <c r="K27" s="37">
        <f>+'New Year-Full Year'!V27</f>
        <v>562.5</v>
      </c>
      <c r="L27" s="3">
        <f t="shared" si="5"/>
        <v>0</v>
      </c>
    </row>
    <row r="28" spans="1:12" ht="14.5" customHeight="1" x14ac:dyDescent="0.35">
      <c r="A28" s="6"/>
      <c r="B28" s="1"/>
      <c r="C28" s="389" t="str">
        <f>+'New Year-Full Year'!C28</f>
        <v>Good Samaritan</v>
      </c>
      <c r="E28" s="37">
        <f>+'New Year-Full Year'!P28</f>
        <v>1000</v>
      </c>
      <c r="F28" s="37">
        <f>+'New Year-Full Year'!Q28</f>
        <v>1000</v>
      </c>
      <c r="G28" s="37">
        <f t="shared" si="3"/>
        <v>0</v>
      </c>
      <c r="H28" s="3">
        <f t="shared" si="4"/>
        <v>0</v>
      </c>
      <c r="J28" s="37">
        <f>+'New Year-Full Year'!U28</f>
        <v>750</v>
      </c>
      <c r="K28" s="37">
        <f>+'New Year-Full Year'!V28</f>
        <v>750</v>
      </c>
      <c r="L28" s="3">
        <f t="shared" si="5"/>
        <v>0</v>
      </c>
    </row>
    <row r="29" spans="1:12" ht="14.5" customHeight="1" x14ac:dyDescent="0.35">
      <c r="A29" s="6"/>
      <c r="B29" s="1"/>
      <c r="C29" s="389" t="str">
        <f>+'New Year-Full Year'!C29</f>
        <v>HALO</v>
      </c>
      <c r="E29" s="37">
        <f>+'New Year-Full Year'!P29</f>
        <v>1000</v>
      </c>
      <c r="F29" s="37">
        <f>+'New Year-Full Year'!Q29</f>
        <v>1000</v>
      </c>
      <c r="G29" s="37">
        <f t="shared" si="3"/>
        <v>0</v>
      </c>
      <c r="H29" s="3">
        <f t="shared" si="4"/>
        <v>0</v>
      </c>
      <c r="J29" s="37">
        <f>+'New Year-Full Year'!U29</f>
        <v>750</v>
      </c>
      <c r="K29" s="37">
        <f>+'New Year-Full Year'!V29</f>
        <v>750</v>
      </c>
      <c r="L29" s="3">
        <f t="shared" si="5"/>
        <v>0</v>
      </c>
    </row>
    <row r="30" spans="1:12" ht="14.5" customHeight="1" x14ac:dyDescent="0.35">
      <c r="A30" s="6"/>
      <c r="B30" s="1"/>
      <c r="C30" s="389" t="str">
        <f>+'New Year-Full Year'!C30</f>
        <v>Veterans Tiny Homes</v>
      </c>
      <c r="E30" s="37">
        <f>+'New Year-Full Year'!P30</f>
        <v>1000</v>
      </c>
      <c r="F30" s="37">
        <f>+'New Year-Full Year'!Q30</f>
        <v>1000</v>
      </c>
      <c r="G30" s="37">
        <f t="shared" si="3"/>
        <v>0</v>
      </c>
      <c r="H30" s="3">
        <f t="shared" si="4"/>
        <v>0</v>
      </c>
      <c r="J30" s="37">
        <f>+'New Year-Full Year'!U30</f>
        <v>750</v>
      </c>
      <c r="K30" s="37">
        <f>+'New Year-Full Year'!V30</f>
        <v>750</v>
      </c>
      <c r="L30" s="3">
        <f t="shared" si="5"/>
        <v>0</v>
      </c>
    </row>
    <row r="31" spans="1:12" ht="14.5" customHeight="1" x14ac:dyDescent="0.35">
      <c r="A31" s="6"/>
      <c r="B31" s="1"/>
      <c r="C31" s="389" t="str">
        <f>+'New Year-Full Year'!C31</f>
        <v>Hospitality Center</v>
      </c>
      <c r="E31" s="37">
        <f>+'New Year-Full Year'!P31</f>
        <v>1000</v>
      </c>
      <c r="F31" s="37">
        <f>+'New Year-Full Year'!Q31</f>
        <v>1000</v>
      </c>
      <c r="G31" s="37">
        <f t="shared" si="3"/>
        <v>0</v>
      </c>
      <c r="H31" s="3">
        <f t="shared" si="4"/>
        <v>0</v>
      </c>
      <c r="J31" s="37">
        <f>+'New Year-Full Year'!U31</f>
        <v>750</v>
      </c>
      <c r="K31" s="37">
        <f>+'New Year-Full Year'!V31</f>
        <v>750</v>
      </c>
      <c r="L31" s="3">
        <f t="shared" si="5"/>
        <v>0</v>
      </c>
    </row>
    <row r="32" spans="1:12" s="2" customFormat="1" x14ac:dyDescent="0.35">
      <c r="A32" s="42">
        <v>26</v>
      </c>
      <c r="B32" s="11"/>
      <c r="C32" s="11" t="str">
        <f>+'New Year-Full Year'!C32</f>
        <v>6% Benevolence Budget  5.9% Actual YTD</v>
      </c>
      <c r="D32" s="11"/>
      <c r="E32" s="11">
        <f>SUM(E23:E31)</f>
        <v>24900</v>
      </c>
      <c r="F32" s="11">
        <f>SUM(F23:F31)</f>
        <v>27750</v>
      </c>
      <c r="G32" s="11">
        <f>+E32-F32</f>
        <v>-2850</v>
      </c>
      <c r="H32" s="13">
        <f>IF(F32=0,"NA",(+E32-F32)/F32)</f>
        <v>-0.10270270270270271</v>
      </c>
      <c r="I32" s="1"/>
      <c r="J32" s="11">
        <f>SUM(J23:J31)</f>
        <v>22562.5</v>
      </c>
      <c r="K32" s="11">
        <f>SUM(K23:K31)</f>
        <v>22562.5</v>
      </c>
      <c r="L32" s="13">
        <f>IF(K32=0,"NA",(+J32-K32)/K32)</f>
        <v>0</v>
      </c>
    </row>
    <row r="33" spans="1:12" s="2" customFormat="1" ht="19.5" customHeight="1" x14ac:dyDescent="0.35">
      <c r="A33" s="42">
        <v>28</v>
      </c>
      <c r="B33" s="18" t="s">
        <v>58</v>
      </c>
      <c r="C33" s="15"/>
      <c r="D33" s="14"/>
      <c r="E33" s="886"/>
      <c r="F33" s="886"/>
      <c r="G33" s="16"/>
      <c r="H33" s="17"/>
      <c r="I33" s="14"/>
      <c r="J33" s="886"/>
      <c r="K33" s="886"/>
      <c r="L33" s="17"/>
    </row>
    <row r="34" spans="1:12" ht="19.5" customHeight="1" x14ac:dyDescent="0.35">
      <c r="A34" s="42">
        <v>29</v>
      </c>
      <c r="B34" s="1144" t="str">
        <f>+'New Year-Full Year'!B34</f>
        <v>Parish Ed</v>
      </c>
      <c r="C34" s="1144"/>
      <c r="D34" s="1144"/>
      <c r="H34" s="38"/>
    </row>
    <row r="35" spans="1:12" x14ac:dyDescent="0.35">
      <c r="A35" s="42">
        <v>30</v>
      </c>
      <c r="C35" s="1" t="str">
        <f>+'New Year-Full Year'!C35</f>
        <v>Sunday School</v>
      </c>
      <c r="E35" s="37">
        <f>+'New Year-Full Year'!P35</f>
        <v>1250</v>
      </c>
      <c r="F35" s="37">
        <f>+'New Year-Full Year'!Q35</f>
        <v>1500</v>
      </c>
      <c r="G35" s="37">
        <f t="shared" ref="G35:G41" si="6">+E35-F35</f>
        <v>-250</v>
      </c>
      <c r="H35" s="3">
        <f t="shared" ref="H35:H42" si="7">IF(F35=0,"NA",(+E35-F35)/F35)</f>
        <v>-0.16666666666666666</v>
      </c>
      <c r="J35" s="37">
        <f>+'New Year-Full Year'!U35</f>
        <v>792.62</v>
      </c>
      <c r="K35" s="37">
        <f>+'New Year-Full Year'!V35</f>
        <v>1144.04</v>
      </c>
      <c r="L35" s="3">
        <f t="shared" ref="L35:L42" si="8">IF(K35=0,"NA",(+J35-K35)/K35)</f>
        <v>-0.30717457431558337</v>
      </c>
    </row>
    <row r="36" spans="1:12" x14ac:dyDescent="0.35">
      <c r="A36" s="42">
        <v>31</v>
      </c>
      <c r="C36" s="1" t="str">
        <f>+'New Year-Full Year'!C37</f>
        <v>Confirmation</v>
      </c>
      <c r="E36" s="37">
        <f>+'New Year-Full Year'!P37</f>
        <v>750</v>
      </c>
      <c r="F36" s="37">
        <f>+'New Year-Full Year'!Q37</f>
        <v>1000</v>
      </c>
      <c r="G36" s="37">
        <f t="shared" si="6"/>
        <v>-250</v>
      </c>
      <c r="H36" s="3">
        <f t="shared" si="7"/>
        <v>-0.25</v>
      </c>
      <c r="J36" s="37">
        <f>+'New Year-Full Year'!U37</f>
        <v>389.8</v>
      </c>
      <c r="K36" s="37">
        <f>+'New Year-Full Year'!V37</f>
        <v>1000</v>
      </c>
      <c r="L36" s="3">
        <f t="shared" si="8"/>
        <v>-0.61020000000000008</v>
      </c>
    </row>
    <row r="37" spans="1:12" x14ac:dyDescent="0.35">
      <c r="A37" s="42">
        <v>32</v>
      </c>
      <c r="C37" s="1" t="str">
        <f>+'New Year-Full Year'!C39</f>
        <v>Neighborhood Camp</v>
      </c>
      <c r="E37" s="37">
        <f>+'New Year-Full Year'!P39</f>
        <v>250</v>
      </c>
      <c r="F37" s="37">
        <f>+'New Year-Full Year'!Q39</f>
        <v>250</v>
      </c>
      <c r="G37" s="37">
        <f t="shared" si="6"/>
        <v>0</v>
      </c>
      <c r="H37" s="3">
        <f t="shared" si="7"/>
        <v>0</v>
      </c>
      <c r="J37" s="37">
        <f>+'New Year-Full Year'!U39</f>
        <v>227.36</v>
      </c>
      <c r="K37" s="37">
        <f>+'New Year-Full Year'!V39</f>
        <v>250</v>
      </c>
      <c r="L37" s="3">
        <f t="shared" si="8"/>
        <v>-9.0559999999999946E-2</v>
      </c>
    </row>
    <row r="38" spans="1:12" x14ac:dyDescent="0.35">
      <c r="A38" s="42">
        <v>33</v>
      </c>
      <c r="C38" s="1" t="str">
        <f>+'New Year-Full Year'!C40</f>
        <v>Library</v>
      </c>
      <c r="E38" s="37">
        <f>+'New Year-Full Year'!P40</f>
        <v>300</v>
      </c>
      <c r="F38" s="37">
        <f>+'New Year-Full Year'!Q40</f>
        <v>300</v>
      </c>
      <c r="G38" s="37">
        <f t="shared" si="6"/>
        <v>0</v>
      </c>
      <c r="H38" s="3">
        <f t="shared" si="7"/>
        <v>0</v>
      </c>
      <c r="J38" s="37">
        <f>+'New Year-Full Year'!U40</f>
        <v>0</v>
      </c>
      <c r="K38" s="37">
        <f>+'New Year-Full Year'!V40</f>
        <v>0</v>
      </c>
      <c r="L38" s="3" t="str">
        <f t="shared" si="8"/>
        <v>NA</v>
      </c>
    </row>
    <row r="39" spans="1:12" x14ac:dyDescent="0.35">
      <c r="A39" s="42">
        <v>34</v>
      </c>
      <c r="C39" s="1" t="str">
        <f>+'New Year-Full Year'!C41</f>
        <v>Communion Education</v>
      </c>
      <c r="E39" s="37">
        <f>+'New Year-Full Year'!P41</f>
        <v>200</v>
      </c>
      <c r="F39" s="37">
        <f>+'New Year-Full Year'!Q41</f>
        <v>200</v>
      </c>
      <c r="G39" s="37">
        <f t="shared" si="6"/>
        <v>0</v>
      </c>
      <c r="H39" s="3">
        <f t="shared" si="7"/>
        <v>0</v>
      </c>
      <c r="J39" s="37">
        <f>+'New Year-Full Year'!U41</f>
        <v>109.27</v>
      </c>
      <c r="K39" s="37">
        <f>+'New Year-Full Year'!V41</f>
        <v>200</v>
      </c>
      <c r="L39" s="3">
        <f t="shared" si="8"/>
        <v>-0.45365</v>
      </c>
    </row>
    <row r="40" spans="1:12" x14ac:dyDescent="0.35">
      <c r="C40" s="1" t="str">
        <f>+'New Year-Full Year'!C42</f>
        <v>Adult Education</v>
      </c>
      <c r="E40" s="37">
        <f>+'New Year-Full Year'!P42</f>
        <v>400</v>
      </c>
      <c r="F40" s="37">
        <f>+'New Year-Full Year'!Q42</f>
        <v>550</v>
      </c>
      <c r="G40" s="37">
        <f t="shared" si="6"/>
        <v>-150</v>
      </c>
      <c r="H40" s="3">
        <f t="shared" si="7"/>
        <v>-0.27272727272727271</v>
      </c>
      <c r="J40" s="37">
        <f>+'New Year-Full Year'!U42</f>
        <v>26.99</v>
      </c>
      <c r="K40" s="37">
        <f>+'New Year-Full Year'!V42</f>
        <v>458.3</v>
      </c>
      <c r="L40" s="3">
        <f>IF(K40=0,"NA",(+J40-K40)/K40)</f>
        <v>-0.94110844425049089</v>
      </c>
    </row>
    <row r="41" spans="1:12" x14ac:dyDescent="0.35">
      <c r="A41" s="42">
        <v>35</v>
      </c>
      <c r="C41" s="1" t="str">
        <f>+'New Year-Full Year'!C43</f>
        <v>Cradle Roll</v>
      </c>
      <c r="E41" s="37">
        <f>+'New Year-Full Year'!P43</f>
        <v>0</v>
      </c>
      <c r="F41" s="37">
        <f>+'New Year-Full Year'!Q43</f>
        <v>250</v>
      </c>
      <c r="G41" s="37">
        <f t="shared" si="6"/>
        <v>-250</v>
      </c>
      <c r="H41" s="3">
        <f t="shared" si="7"/>
        <v>-1</v>
      </c>
      <c r="J41" s="37">
        <f>+'New Year-Full Year'!U43</f>
        <v>0</v>
      </c>
      <c r="K41" s="37">
        <f>+'New Year-Full Year'!V43</f>
        <v>208.3</v>
      </c>
      <c r="L41" s="3">
        <f t="shared" si="8"/>
        <v>-1</v>
      </c>
    </row>
    <row r="42" spans="1:12" s="2" customFormat="1" x14ac:dyDescent="0.35">
      <c r="A42" s="42">
        <v>36</v>
      </c>
      <c r="B42" s="36" t="str">
        <f>+'New Year-Full Year'!B44</f>
        <v>Total Parish Ed</v>
      </c>
      <c r="C42" s="36"/>
      <c r="D42" s="36"/>
      <c r="E42" s="36">
        <f>SUM(E35:E41)</f>
        <v>3150</v>
      </c>
      <c r="F42" s="36">
        <f>SUM(F35:F41)</f>
        <v>4050</v>
      </c>
      <c r="G42" s="36">
        <f>SUM(G35:G41)</f>
        <v>-900</v>
      </c>
      <c r="H42" s="20">
        <f t="shared" si="7"/>
        <v>-0.22222222222222221</v>
      </c>
      <c r="J42" s="36">
        <f>SUM(J35:J41)</f>
        <v>1546.0400000000002</v>
      </c>
      <c r="K42" s="36">
        <f>SUM(K35:K41)</f>
        <v>3260.6400000000003</v>
      </c>
      <c r="L42" s="20">
        <f t="shared" si="8"/>
        <v>-0.5258476863437852</v>
      </c>
    </row>
    <row r="43" spans="1:12" ht="19.5" customHeight="1" x14ac:dyDescent="0.35">
      <c r="A43" s="42">
        <v>40</v>
      </c>
      <c r="B43" s="868" t="str">
        <f>+'New Year-Full Year'!B45</f>
        <v>Worship</v>
      </c>
      <c r="H43" s="38"/>
    </row>
    <row r="44" spans="1:12" x14ac:dyDescent="0.35">
      <c r="A44" s="42">
        <v>41</v>
      </c>
      <c r="C44" s="1" t="str">
        <f>+'New Year-Full Year'!C46</f>
        <v>Worship Supplies</v>
      </c>
      <c r="E44" s="37">
        <f>+'New Year-Full Year'!P46</f>
        <v>3000</v>
      </c>
      <c r="F44" s="37">
        <f>+'New Year-Full Year'!Q46</f>
        <v>3500</v>
      </c>
      <c r="G44" s="37">
        <f>+E44-F44</f>
        <v>-500</v>
      </c>
      <c r="H44" s="3">
        <f>IF(F44=0,"NA",(+E44-F44)/F44)</f>
        <v>-0.14285714285714285</v>
      </c>
      <c r="J44" s="37">
        <f>+'New Year-Full Year'!U46</f>
        <v>2096.77</v>
      </c>
      <c r="K44" s="37">
        <f>+'New Year-Full Year'!V46</f>
        <v>2916.7</v>
      </c>
      <c r="L44" s="3">
        <f>IF(K44=0,"NA",(+J44-K44)/K44)</f>
        <v>-0.28111564439263548</v>
      </c>
    </row>
    <row r="45" spans="1:12" x14ac:dyDescent="0.35">
      <c r="A45" s="42">
        <v>43</v>
      </c>
      <c r="C45" s="1" t="str">
        <f>+'New Year-Full Year'!C47</f>
        <v>Children's Services</v>
      </c>
      <c r="E45" s="37">
        <f>+'New Year-Full Year'!P47</f>
        <v>0</v>
      </c>
      <c r="F45" s="37">
        <f>+'New Year-Full Year'!Q47</f>
        <v>100</v>
      </c>
      <c r="G45" s="37">
        <f>+E45-F45</f>
        <v>-100</v>
      </c>
      <c r="H45" s="3">
        <f>IF(F45=0,"NA",(+E45-F45)/F45)</f>
        <v>-1</v>
      </c>
      <c r="J45" s="37">
        <f>+'New Year-Full Year'!U47</f>
        <v>53.27</v>
      </c>
      <c r="K45" s="37">
        <f>+'New Year-Full Year'!V47</f>
        <v>83.3</v>
      </c>
      <c r="L45" s="3">
        <f>IF(K45=0,"NA",(+J45-K45)/K45)</f>
        <v>-0.36050420168067221</v>
      </c>
    </row>
    <row r="46" spans="1:12" x14ac:dyDescent="0.35">
      <c r="A46" s="42">
        <v>44</v>
      </c>
      <c r="C46" s="1" t="str">
        <f>+'New Year-Full Year'!C48</f>
        <v>Flowers</v>
      </c>
      <c r="E46" s="37">
        <f>+'New Year-Full Year'!P48</f>
        <v>200</v>
      </c>
      <c r="F46" s="37">
        <f>+'New Year-Full Year'!Q48</f>
        <v>200</v>
      </c>
      <c r="G46" s="37">
        <f>+E46-F46</f>
        <v>0</v>
      </c>
      <c r="H46" s="3">
        <f>IF(F46=0,"NA",(+E46-F46)/F46)</f>
        <v>0</v>
      </c>
      <c r="J46" s="37">
        <f>+'New Year-Full Year'!U48</f>
        <v>-305</v>
      </c>
      <c r="K46" s="37">
        <f>+'New Year-Full Year'!V48</f>
        <v>166.7</v>
      </c>
      <c r="L46" s="3">
        <f>IF(K46=0,"NA",(+J46-K46)/K46)</f>
        <v>-2.8296340731853631</v>
      </c>
    </row>
    <row r="47" spans="1:12" s="2" customFormat="1" x14ac:dyDescent="0.35">
      <c r="A47" s="42">
        <v>45</v>
      </c>
      <c r="B47" s="36" t="str">
        <f>+'New Year-Full Year'!B49</f>
        <v>Total Worship</v>
      </c>
      <c r="C47" s="36"/>
      <c r="D47" s="36"/>
      <c r="E47" s="36">
        <f>SUM(E44:E46)</f>
        <v>3200</v>
      </c>
      <c r="F47" s="36">
        <f>SUM(F44:F46)</f>
        <v>3800</v>
      </c>
      <c r="G47" s="36">
        <f>SUM(G44:G46)</f>
        <v>-600</v>
      </c>
      <c r="H47" s="20">
        <f>IF(F47=0,"NA",(+E47-F47)/F47)</f>
        <v>-0.15789473684210525</v>
      </c>
      <c r="J47" s="36">
        <f>SUM(J44:J46)</f>
        <v>1845.04</v>
      </c>
      <c r="K47" s="36">
        <f>SUM(K44:K46)</f>
        <v>3166.7</v>
      </c>
      <c r="L47" s="20">
        <f>IF(K47=0,"NA",(+J47-K47)/K47)</f>
        <v>-0.41736192250607884</v>
      </c>
    </row>
    <row r="48" spans="1:12" ht="6.75" customHeight="1" x14ac:dyDescent="0.35">
      <c r="A48" s="42">
        <v>46</v>
      </c>
      <c r="H48" s="38"/>
    </row>
    <row r="49" spans="1:12" s="2" customFormat="1" x14ac:dyDescent="0.35">
      <c r="A49" s="42">
        <v>51</v>
      </c>
      <c r="B49" s="36" t="str">
        <f>+'New Year-Full Year'!B51</f>
        <v>Youth</v>
      </c>
      <c r="C49" s="36"/>
      <c r="D49" s="36"/>
      <c r="E49" s="36">
        <f>+'New Year-Full Year'!P51</f>
        <v>3000</v>
      </c>
      <c r="F49" s="36">
        <f>+'New Year-Full Year'!Q51</f>
        <v>8000</v>
      </c>
      <c r="G49" s="36">
        <f>+E49-F49</f>
        <v>-5000</v>
      </c>
      <c r="H49" s="20">
        <f>IF(F49=0,"NA",(+E49-F49)/F49)</f>
        <v>-0.625</v>
      </c>
      <c r="J49" s="36">
        <f>+'New Year-Full Year'!U51</f>
        <v>782.56</v>
      </c>
      <c r="K49" s="36">
        <f>+'New Year-Full Year'!V51</f>
        <v>6666.7</v>
      </c>
      <c r="L49" s="20">
        <f>IF(K49=0,"NA",(+J49-K49)/K49)</f>
        <v>-0.88261658691706535</v>
      </c>
    </row>
    <row r="50" spans="1:12" ht="19.5" customHeight="1" x14ac:dyDescent="0.35">
      <c r="A50" s="42">
        <v>53</v>
      </c>
      <c r="B50" s="868"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+E51-F51</f>
        <v>0</v>
      </c>
      <c r="H51" s="3">
        <f>IF(F51=0,"NA",(+E51-F51)/F51)</f>
        <v>0</v>
      </c>
      <c r="J51" s="37">
        <f>+'New Year-Full Year'!U53</f>
        <v>402.26</v>
      </c>
      <c r="K51" s="37">
        <f>+'New Year-Full Year'!V53</f>
        <v>333.3</v>
      </c>
      <c r="L51" s="3">
        <f>IF(K51=0,"NA",(+J51-K51)/K51)</f>
        <v>0.20690069006900683</v>
      </c>
    </row>
    <row r="52" spans="1:12" x14ac:dyDescent="0.35">
      <c r="A52" s="42">
        <v>55</v>
      </c>
      <c r="C52" s="1" t="str">
        <f>+'New Year-Full Year'!C55</f>
        <v>Sunday Coffee</v>
      </c>
      <c r="E52" s="37">
        <f>+'New Year-Full Year'!P55</f>
        <v>0</v>
      </c>
      <c r="F52" s="37">
        <f>+'New Year-Full Year'!Q55</f>
        <v>150</v>
      </c>
      <c r="G52" s="37">
        <f>+E52-F52</f>
        <v>-150</v>
      </c>
      <c r="H52" s="3">
        <f>IF(F52=0,"NA",(+E52-F52)/F52)</f>
        <v>-1</v>
      </c>
      <c r="J52" s="37">
        <f>+'New Year-Full Year'!U55</f>
        <v>19.96</v>
      </c>
      <c r="K52" s="37">
        <f>+'New Year-Full Year'!V55</f>
        <v>125</v>
      </c>
      <c r="L52" s="3">
        <f>IF(K52=0,"NA",(+J52-K52)/K52)</f>
        <v>-0.84031999999999996</v>
      </c>
    </row>
    <row r="53" spans="1:12" s="2" customFormat="1" x14ac:dyDescent="0.35">
      <c r="A53" s="42">
        <v>56</v>
      </c>
      <c r="B53" s="36" t="str">
        <f>+'New Year-Full Year'!B56</f>
        <v>Total Church Membership</v>
      </c>
      <c r="C53" s="36"/>
      <c r="D53" s="36"/>
      <c r="E53" s="36">
        <f>SUM(E51:E52)</f>
        <v>400</v>
      </c>
      <c r="F53" s="36">
        <f>SUM(F51:F52)</f>
        <v>550</v>
      </c>
      <c r="G53" s="36">
        <f>SUM(G51:G52)</f>
        <v>-150</v>
      </c>
      <c r="H53" s="20">
        <f>IF(F53=0,"NA",(+E53-F53)/F53)</f>
        <v>-0.27272727272727271</v>
      </c>
      <c r="J53" s="36">
        <f>SUM(J51:J52)</f>
        <v>422.21999999999997</v>
      </c>
      <c r="K53" s="36">
        <f>SUM(K51:K52)</f>
        <v>458.3</v>
      </c>
      <c r="L53" s="20">
        <f>IF(K53=0,"NA",(+J53-K53)/K53)</f>
        <v>-7.8725725507309705E-2</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+E55-F55</f>
        <v>0</v>
      </c>
      <c r="H55" s="20">
        <f>IF(F55=0,"NA",(+E55-F55)/F55)</f>
        <v>0</v>
      </c>
      <c r="J55" s="44">
        <f>+'New Year-Full Year'!U58</f>
        <v>125</v>
      </c>
      <c r="K55" s="44">
        <f>+'New Year-Full Year'!V58</f>
        <v>166.7</v>
      </c>
      <c r="L55" s="20">
        <f>IF(K55=0,"NA",(+J55-K55)/K55)</f>
        <v>-0.25014997000599876</v>
      </c>
    </row>
    <row r="56" spans="1:12" ht="19.5" customHeight="1" x14ac:dyDescent="0.35">
      <c r="A56" s="42">
        <v>60</v>
      </c>
      <c r="B56" s="868"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9">+E57-F57</f>
        <v>0</v>
      </c>
      <c r="H57" s="3">
        <f t="shared" ref="H57:H63" si="10">IF(F57=0,"NA",(+E57-F57)/F57)</f>
        <v>0</v>
      </c>
      <c r="J57" s="37">
        <f>+'New Year-Full Year'!U60</f>
        <v>0</v>
      </c>
      <c r="K57" s="37">
        <f>+'New Year-Full Year'!V60</f>
        <v>200</v>
      </c>
      <c r="L57" s="3">
        <f t="shared" ref="L57:L63" si="11">IF(K57=0,"NA",(+J57-K57)/K57)</f>
        <v>-1</v>
      </c>
    </row>
    <row r="58" spans="1:12" x14ac:dyDescent="0.35">
      <c r="A58" s="42">
        <v>62</v>
      </c>
      <c r="C58" s="1" t="str">
        <f>+'New Year-Full Year'!C61</f>
        <v>Envelopes, Giving</v>
      </c>
      <c r="E58" s="37">
        <f>+'New Year-Full Year'!P61</f>
        <v>300</v>
      </c>
      <c r="F58" s="37">
        <f>+'New Year-Full Year'!Q61</f>
        <v>300</v>
      </c>
      <c r="G58" s="37">
        <f t="shared" si="9"/>
        <v>0</v>
      </c>
      <c r="H58" s="3">
        <f t="shared" si="10"/>
        <v>0</v>
      </c>
      <c r="J58" s="37">
        <f>+'New Year-Full Year'!U61</f>
        <v>0</v>
      </c>
      <c r="K58" s="37">
        <f>+'New Year-Full Year'!V61</f>
        <v>300</v>
      </c>
      <c r="L58" s="3">
        <f t="shared" si="11"/>
        <v>-1</v>
      </c>
    </row>
    <row r="59" spans="1:12" x14ac:dyDescent="0.35">
      <c r="A59" s="42">
        <v>63</v>
      </c>
      <c r="C59" s="1" t="str">
        <f>+'New Year-Full Year'!C63</f>
        <v>Synod Assembly</v>
      </c>
      <c r="E59" s="37">
        <f>+'New Year-Full Year'!P63</f>
        <v>1000</v>
      </c>
      <c r="F59" s="37">
        <f>+'New Year-Full Year'!Q63</f>
        <v>1000</v>
      </c>
      <c r="G59" s="37">
        <f t="shared" si="9"/>
        <v>0</v>
      </c>
      <c r="H59" s="3">
        <f t="shared" si="10"/>
        <v>0</v>
      </c>
      <c r="J59" s="37">
        <f>+'New Year-Full Year'!U63</f>
        <v>890</v>
      </c>
      <c r="K59" s="37">
        <f>+'New Year-Full Year'!V63</f>
        <v>1000</v>
      </c>
      <c r="L59" s="3">
        <f t="shared" si="11"/>
        <v>-0.11</v>
      </c>
    </row>
    <row r="60" spans="1:12" x14ac:dyDescent="0.35">
      <c r="A60" s="42">
        <v>64</v>
      </c>
      <c r="C60" s="1" t="str">
        <f>+'New Year-Full Year'!C64</f>
        <v>Evangelism</v>
      </c>
      <c r="E60" s="37">
        <f>+'New Year-Full Year'!P64</f>
        <v>0</v>
      </c>
      <c r="F60" s="37">
        <f>+'New Year-Full Year'!Q64</f>
        <v>2000</v>
      </c>
      <c r="G60" s="37">
        <f t="shared" si="9"/>
        <v>-2000</v>
      </c>
      <c r="H60" s="3">
        <f t="shared" si="10"/>
        <v>-1</v>
      </c>
      <c r="J60" s="37">
        <f>+'New Year-Full Year'!U64</f>
        <v>0</v>
      </c>
      <c r="K60" s="37">
        <f>+'New Year-Full Year'!V64</f>
        <v>1666.7</v>
      </c>
      <c r="L60" s="3">
        <f t="shared" si="11"/>
        <v>-1</v>
      </c>
    </row>
    <row r="61" spans="1:12" x14ac:dyDescent="0.35">
      <c r="C61" s="1" t="str">
        <f>+'New Year-Full Year'!C65</f>
        <v>Other Programs</v>
      </c>
      <c r="E61" s="37">
        <f>+'New Year-Full Year'!P65</f>
        <v>200</v>
      </c>
      <c r="F61" s="37">
        <f>+'New Year-Full Year'!Q65</f>
        <v>200</v>
      </c>
      <c r="G61" s="37">
        <f t="shared" si="9"/>
        <v>0</v>
      </c>
      <c r="H61" s="3">
        <f>IF(F61=0,"NA",(+E61-F61)/F61)</f>
        <v>0</v>
      </c>
      <c r="J61" s="37">
        <f>+'New Year-Full Year'!U65</f>
        <v>59.5</v>
      </c>
      <c r="K61" s="37">
        <f>+'New Year-Full Year'!V65</f>
        <v>166.7</v>
      </c>
      <c r="L61" s="3">
        <f>IF(K61=0,"NA",(+J61-K61)/K61)</f>
        <v>-0.64307138572285538</v>
      </c>
    </row>
    <row r="62" spans="1:12" x14ac:dyDescent="0.35">
      <c r="A62" s="42">
        <v>65</v>
      </c>
      <c r="C62" s="1" t="str">
        <f>+'New Year-Full Year'!C66</f>
        <v>Organ/Piano Maintenance</v>
      </c>
      <c r="E62" s="37">
        <f>+'New Year-Full Year'!P66</f>
        <v>1484</v>
      </c>
      <c r="F62" s="37">
        <f>+'New Year-Full Year'!Q66</f>
        <v>1484</v>
      </c>
      <c r="G62" s="37">
        <f t="shared" si="9"/>
        <v>0</v>
      </c>
      <c r="H62" s="3">
        <f t="shared" si="10"/>
        <v>0</v>
      </c>
      <c r="J62" s="37">
        <f>+'New Year-Full Year'!U66</f>
        <v>690</v>
      </c>
      <c r="K62" s="37">
        <f>+'New Year-Full Year'!V66</f>
        <v>1236.7</v>
      </c>
      <c r="L62" s="3">
        <f t="shared" si="11"/>
        <v>-0.44206355623837634</v>
      </c>
    </row>
    <row r="63" spans="1:12" s="2" customFormat="1" x14ac:dyDescent="0.35">
      <c r="A63" s="42">
        <v>66</v>
      </c>
      <c r="B63" s="36" t="str">
        <f>+'New Year-Full Year'!B67</f>
        <v>Total Misc Programs</v>
      </c>
      <c r="C63" s="36"/>
      <c r="D63" s="36"/>
      <c r="E63" s="36">
        <f>SUM(E57:E62)</f>
        <v>3184</v>
      </c>
      <c r="F63" s="36">
        <f>SUM(F57:F62)</f>
        <v>5184</v>
      </c>
      <c r="G63" s="36">
        <f>SUM(G57:G62)</f>
        <v>-2000</v>
      </c>
      <c r="H63" s="20">
        <f t="shared" si="10"/>
        <v>-0.38580246913580246</v>
      </c>
      <c r="J63" s="36">
        <f>SUM(J57:J62)</f>
        <v>1639.5</v>
      </c>
      <c r="K63" s="36">
        <f>SUM(K57:K62)</f>
        <v>4570.0999999999995</v>
      </c>
      <c r="L63" s="20">
        <f t="shared" si="11"/>
        <v>-0.64125511476772934</v>
      </c>
    </row>
    <row r="64" spans="1:12" ht="19.5" customHeight="1" x14ac:dyDescent="0.35">
      <c r="A64" s="42">
        <v>68</v>
      </c>
      <c r="B64" s="868" t="str">
        <f>+'New Year-Full Year'!B68</f>
        <v>Office Expense</v>
      </c>
      <c r="H64" s="38"/>
    </row>
    <row r="65" spans="1:13" x14ac:dyDescent="0.35">
      <c r="A65" s="42">
        <v>69</v>
      </c>
      <c r="C65" s="1" t="str">
        <f>+'New Year-Full Year'!C69</f>
        <v>Office Supplies</v>
      </c>
      <c r="E65" s="37">
        <f>+'New Year-Full Year'!P69</f>
        <v>2000</v>
      </c>
      <c r="F65" s="37">
        <f>+'New Year-Full Year'!Q69</f>
        <v>2500</v>
      </c>
      <c r="G65" s="37">
        <f t="shared" ref="G65:G70" si="12">+E65-F65</f>
        <v>-500</v>
      </c>
      <c r="H65" s="3">
        <f t="shared" ref="H65:H72" si="13">IF(F65=0,"NA",(+E65-F65)/F65)</f>
        <v>-0.2</v>
      </c>
      <c r="J65" s="37">
        <f>+'New Year-Full Year'!U69</f>
        <v>1788.56</v>
      </c>
      <c r="K65" s="37">
        <f>+'New Year-Full Year'!V69</f>
        <v>2083.3000000000002</v>
      </c>
      <c r="L65" s="3">
        <f t="shared" ref="L65:L72" si="14">IF(K65=0,"NA",(+J65-K65)/K65)</f>
        <v>-0.14147746363941832</v>
      </c>
    </row>
    <row r="66" spans="1:13" x14ac:dyDescent="0.35">
      <c r="A66" s="42">
        <v>70</v>
      </c>
      <c r="C66" s="1" t="str">
        <f>+'New Year-Full Year'!C70</f>
        <v>Postage</v>
      </c>
      <c r="E66" s="37">
        <f>+'New Year-Full Year'!P70</f>
        <v>2000</v>
      </c>
      <c r="F66" s="37">
        <f>+'New Year-Full Year'!Q70</f>
        <v>2300</v>
      </c>
      <c r="G66" s="37">
        <f t="shared" si="12"/>
        <v>-300</v>
      </c>
      <c r="H66" s="3">
        <f t="shared" si="13"/>
        <v>-0.13043478260869565</v>
      </c>
      <c r="J66" s="37">
        <f>+'New Year-Full Year'!U70</f>
        <v>1760</v>
      </c>
      <c r="K66" s="37">
        <f>+'New Year-Full Year'!V70</f>
        <v>1916.7</v>
      </c>
      <c r="L66" s="3">
        <f t="shared" si="14"/>
        <v>-8.1755099911305917E-2</v>
      </c>
    </row>
    <row r="67" spans="1:13" x14ac:dyDescent="0.35">
      <c r="A67" s="42">
        <v>73</v>
      </c>
      <c r="C67" s="1" t="str">
        <f>+'New Year-Full Year'!C71</f>
        <v>Office Equipment/Computer</v>
      </c>
      <c r="E67" s="37">
        <f>+'New Year-Full Year'!P71</f>
        <v>10800</v>
      </c>
      <c r="F67" s="37">
        <f>+'New Year-Full Year'!Q71</f>
        <v>11000</v>
      </c>
      <c r="G67" s="37">
        <f t="shared" si="12"/>
        <v>-200</v>
      </c>
      <c r="H67" s="3">
        <f t="shared" si="13"/>
        <v>-1.8181818181818181E-2</v>
      </c>
      <c r="J67" s="37">
        <f>+'New Year-Full Year'!U71</f>
        <v>11110.05</v>
      </c>
      <c r="K67" s="37">
        <f>+'New Year-Full Year'!V71</f>
        <v>9166.7000000000007</v>
      </c>
      <c r="L67" s="3">
        <f t="shared" si="14"/>
        <v>0.21200104726891886</v>
      </c>
    </row>
    <row r="68" spans="1:13" x14ac:dyDescent="0.35">
      <c r="A68" s="42">
        <v>74</v>
      </c>
      <c r="C68" s="1" t="str">
        <f>+'New Year-Full Year'!C73</f>
        <v>Kitchen Supplies</v>
      </c>
      <c r="E68" s="37">
        <f>+'New Year-Full Year'!P73</f>
        <v>700</v>
      </c>
      <c r="F68" s="37">
        <f>+'New Year-Full Year'!Q73</f>
        <v>800</v>
      </c>
      <c r="G68" s="37">
        <f t="shared" si="12"/>
        <v>-100</v>
      </c>
      <c r="H68" s="3">
        <f t="shared" si="13"/>
        <v>-0.125</v>
      </c>
      <c r="J68" s="37">
        <f>+'New Year-Full Year'!U73</f>
        <v>79.98</v>
      </c>
      <c r="K68" s="37">
        <f>+'New Year-Full Year'!V73</f>
        <v>666.7</v>
      </c>
      <c r="L68" s="3">
        <f t="shared" si="14"/>
        <v>-0.88003599820008993</v>
      </c>
    </row>
    <row r="69" spans="1:13" x14ac:dyDescent="0.35">
      <c r="A69" s="42">
        <v>75</v>
      </c>
      <c r="C69" s="1" t="str">
        <f>+'New Year-Full Year'!C74</f>
        <v>Bank Fees</v>
      </c>
      <c r="E69" s="37">
        <f>+'New Year-Full Year'!P74</f>
        <v>1700</v>
      </c>
      <c r="F69" s="37">
        <f>+'New Year-Full Year'!Q74</f>
        <v>1700</v>
      </c>
      <c r="G69" s="37">
        <f t="shared" si="12"/>
        <v>0</v>
      </c>
      <c r="H69" s="3">
        <f t="shared" si="13"/>
        <v>0</v>
      </c>
      <c r="J69" s="37">
        <f>+'New Year-Full Year'!U74</f>
        <v>1751.19</v>
      </c>
      <c r="K69" s="37">
        <f>+'New Year-Full Year'!V74</f>
        <v>1416.7</v>
      </c>
      <c r="L69" s="3">
        <f t="shared" si="14"/>
        <v>0.2361050328227571</v>
      </c>
    </row>
    <row r="70" spans="1:13" x14ac:dyDescent="0.35">
      <c r="A70" s="42">
        <v>76</v>
      </c>
      <c r="C70" s="1" t="str">
        <f>+'New Year-Full Year'!C75</f>
        <v>Professional Fees</v>
      </c>
      <c r="E70" s="37">
        <f>+'New Year-Full Year'!P75</f>
        <v>1000</v>
      </c>
      <c r="F70" s="37">
        <f>+'New Year-Full Year'!Q75</f>
        <v>1000</v>
      </c>
      <c r="G70" s="37">
        <f t="shared" si="12"/>
        <v>0</v>
      </c>
      <c r="H70" s="3">
        <f>IF(F70=0,"NA",(+E70-F70)/F70)</f>
        <v>0</v>
      </c>
      <c r="J70" s="37">
        <f>+'New Year-Full Year'!U75</f>
        <v>500</v>
      </c>
      <c r="K70" s="37">
        <f>+'New Year-Full Year'!V75</f>
        <v>833.3</v>
      </c>
      <c r="L70" s="3">
        <f>IF(K70=0,"NA",(+J70-K70)/K70)</f>
        <v>-0.39997599903996156</v>
      </c>
    </row>
    <row r="71" spans="1:13" s="2" customFormat="1" x14ac:dyDescent="0.35">
      <c r="A71" s="42">
        <v>76</v>
      </c>
      <c r="B71" s="36" t="str">
        <f>+'New Year-Full Year'!B77</f>
        <v>Total Office Expense</v>
      </c>
      <c r="C71" s="36"/>
      <c r="D71" s="36"/>
      <c r="E71" s="36">
        <f>SUM(E65:E70)</f>
        <v>18200</v>
      </c>
      <c r="F71" s="36">
        <f>SUM(F65:F70)</f>
        <v>19300</v>
      </c>
      <c r="G71" s="36">
        <f>SUM(G65:G70)</f>
        <v>-1100</v>
      </c>
      <c r="H71" s="20">
        <f t="shared" si="13"/>
        <v>-5.6994818652849742E-2</v>
      </c>
      <c r="J71" s="36">
        <f>SUM(J65:J70)</f>
        <v>16989.78</v>
      </c>
      <c r="K71" s="36">
        <f>SUM(K65:K70)</f>
        <v>16083.400000000001</v>
      </c>
      <c r="L71" s="20">
        <f t="shared" si="14"/>
        <v>5.6354999564768478E-2</v>
      </c>
    </row>
    <row r="72" spans="1:13" x14ac:dyDescent="0.35">
      <c r="A72" s="42">
        <v>77</v>
      </c>
      <c r="B72" s="36" t="str">
        <f>+'New Year-Full Year'!B78</f>
        <v>TOTAL PROGRAMS</v>
      </c>
      <c r="C72" s="22"/>
      <c r="D72" s="22"/>
      <c r="E72" s="36">
        <f>+E42+E47+E49+E55+E63+E71+E53</f>
        <v>31334</v>
      </c>
      <c r="F72" s="36">
        <f>+F42+F47+F49+F55+F63+F71+F53</f>
        <v>41084</v>
      </c>
      <c r="G72" s="36">
        <f>+G42+G47+G49+G55+G63+G71+G53</f>
        <v>-9750</v>
      </c>
      <c r="H72" s="20">
        <f t="shared" si="13"/>
        <v>-0.23731866420017525</v>
      </c>
      <c r="J72" s="36">
        <f>+J42+J47+J49+J55+J63+J71+J53</f>
        <v>23350.14</v>
      </c>
      <c r="K72" s="36">
        <f>+K42+K47+K49+K55+K63+K71+K53</f>
        <v>34372.540000000008</v>
      </c>
      <c r="L72" s="20">
        <f t="shared" si="14"/>
        <v>-0.32067458500302876</v>
      </c>
    </row>
    <row r="73" spans="1:13" ht="23" customHeight="1" x14ac:dyDescent="0.35">
      <c r="A73" s="42">
        <v>79</v>
      </c>
      <c r="B73" s="6" t="s">
        <v>34</v>
      </c>
      <c r="H73" s="38"/>
    </row>
    <row r="74" spans="1:13" hidden="1" x14ac:dyDescent="0.35">
      <c r="B74" s="2" t="s">
        <v>307</v>
      </c>
      <c r="H74" s="38"/>
    </row>
    <row r="75" spans="1:13" hidden="1" x14ac:dyDescent="0.35">
      <c r="A75" s="42">
        <v>81</v>
      </c>
      <c r="C75" s="1135" t="s">
        <v>373</v>
      </c>
      <c r="D75" s="1135"/>
      <c r="E75" s="37">
        <f>'New Year-Full Year'!P$104+'New Year-Full Year'!P$106+'New Year-Full Year'!P$122+SUM('New Year-Full Year'!P$124:P$127)+SUM('New Year-Full Year'!P$133:P$133)+'New Year-Full Year'!P$137</f>
        <v>227061</v>
      </c>
      <c r="F75" s="37">
        <f>'New Year-Full Year'!Q$104+'New Year-Full Year'!Q$106+'New Year-Full Year'!Q$122+SUM('New Year-Full Year'!Q$124:Q$127)+SUM('New Year-Full Year'!Q$133:Q$133)+'New Year-Full Year'!Q$137</f>
        <v>216587</v>
      </c>
      <c r="G75" s="37">
        <f>+E75-F75</f>
        <v>10474</v>
      </c>
      <c r="H75" s="3">
        <f>IF(F75=0,"NA",(+E75-F75)/F75)</f>
        <v>4.8359319811438359E-2</v>
      </c>
      <c r="J75" s="37">
        <f>'New Year-Full Year'!U$104+'New Year-Full Year'!U$106+'New Year-Full Year'!U$122+SUM('New Year-Full Year'!U$124:U$127)+SUM('New Year-Full Year'!U$133:U$133)+'New Year-Full Year'!U$137</f>
        <v>158065.44</v>
      </c>
      <c r="K75" s="37">
        <f>'New Year-Full Year'!V$104+'New Year-Full Year'!V$106+'New Year-Full Year'!V$122+SUM('New Year-Full Year'!V$124:V$127)+SUM('New Year-Full Year'!V$133:V$133)+'New Year-Full Year'!V$137</f>
        <v>180109.82</v>
      </c>
      <c r="L75" s="3">
        <f>IF(K75=0,"NA",(+J75-K75)/K75)</f>
        <v>-0.1223941037751301</v>
      </c>
    </row>
    <row r="76" spans="1:13" hidden="1" x14ac:dyDescent="0.35">
      <c r="A76" s="42">
        <v>83</v>
      </c>
      <c r="C76" s="1" t="s">
        <v>97</v>
      </c>
      <c r="E76" s="37">
        <f>+'New Year-Full Year'!P131+'New Year-Full Year'!P132+'New Year-Full Year'!P135+'New Year-Full Year'!P136</f>
        <v>13885</v>
      </c>
      <c r="F76" s="37">
        <f>+'New Year-Full Year'!Q131+'New Year-Full Year'!Q132+'New Year-Full Year'!Q135+'New Year-Full Year'!Q136</f>
        <v>14278</v>
      </c>
      <c r="G76" s="37">
        <f>+E76-F76</f>
        <v>-393</v>
      </c>
      <c r="H76" s="3">
        <f>IF(F76=0,"NA",(+E76-F76)/F76)</f>
        <v>-2.7524863426250174E-2</v>
      </c>
      <c r="J76" s="37">
        <f>+'New Year-Full Year'!U131+'New Year-Full Year'!U132+'New Year-Full Year'!U135+'New Year-Full Year'!U136</f>
        <v>7687.35</v>
      </c>
      <c r="K76" s="37">
        <f>+'New Year-Full Year'!V131+'New Year-Full Year'!V132+'New Year-Full Year'!V135+'New Year-Full Year'!V136</f>
        <v>11614.9</v>
      </c>
      <c r="L76" s="3">
        <f>IF(K76=0,"NA",(+J76-K76)/K76)</f>
        <v>-0.33814755185150103</v>
      </c>
      <c r="M76" s="297"/>
    </row>
    <row r="77" spans="1:13" hidden="1" x14ac:dyDescent="0.35">
      <c r="B77" s="2" t="s">
        <v>308</v>
      </c>
      <c r="D77" s="2" t="s">
        <v>717</v>
      </c>
      <c r="E77" s="37"/>
      <c r="F77" s="37"/>
      <c r="G77" s="37"/>
      <c r="H77" s="3"/>
      <c r="J77" s="37"/>
      <c r="K77" s="37"/>
      <c r="L77" s="3"/>
      <c r="M77" s="297"/>
    </row>
    <row r="78" spans="1:13" hidden="1" x14ac:dyDescent="0.35">
      <c r="C78" s="1135" t="s">
        <v>309</v>
      </c>
      <c r="D78" s="1135"/>
      <c r="E78" s="37">
        <f>'New Year-Full Year'!P$107+'New Year-Full Year'!P$134++'New Year-Full Year'!P$81+SUM('New Year-Full Year'!P83:P91)</f>
        <v>43670</v>
      </c>
      <c r="F78" s="37">
        <f>'New Year-Full Year'!Q$107+'New Year-Full Year'!Q$134++'New Year-Full Year'!Q$81+SUM('New Year-Full Year'!Q83:Q91)</f>
        <v>109256</v>
      </c>
      <c r="G78" s="37">
        <f>+E78-F78</f>
        <v>-65586</v>
      </c>
      <c r="H78" s="3">
        <f>IF(F78=0,"NA",(+E78-F78)/F78)</f>
        <v>-0.60029655121915504</v>
      </c>
      <c r="J78" s="37">
        <f>'New Year-Full Year'!U$107+'New Year-Full Year'!U$134++'New Year-Full Year'!U$81+SUM('New Year-Full Year'!U83:U91)</f>
        <v>61841.200000000004</v>
      </c>
      <c r="K78" s="37">
        <f>'New Year-Full Year'!V$107+'New Year-Full Year'!V$134++'New Year-Full Year'!V$81+SUM('New Year-Full Year'!V83:V91)</f>
        <v>91006.700000000012</v>
      </c>
      <c r="L78" s="3">
        <f>IF(K78=0,"NA",(+J78-K78)/K78)</f>
        <v>-0.32047640448450504</v>
      </c>
      <c r="M78" s="297"/>
    </row>
    <row r="79" spans="1:13" s="2" customFormat="1" x14ac:dyDescent="0.35">
      <c r="A79" s="42">
        <v>86</v>
      </c>
      <c r="B79" s="23" t="s">
        <v>374</v>
      </c>
      <c r="C79" s="23"/>
      <c r="D79" s="23"/>
      <c r="E79" s="23">
        <f>SUM(E75:E78)</f>
        <v>284616</v>
      </c>
      <c r="F79" s="23">
        <f>SUM(F75:F78)</f>
        <v>340121</v>
      </c>
      <c r="G79" s="23">
        <f>+E79-F79</f>
        <v>-55505</v>
      </c>
      <c r="H79" s="24">
        <f>IF(F79=0,"NA",(+E79-F79)/F79)</f>
        <v>-0.16319192287450643</v>
      </c>
      <c r="J79" s="23">
        <f>SUM(J75:J78)</f>
        <v>227593.99000000002</v>
      </c>
      <c r="K79" s="23">
        <f>SUM(K75:K78)</f>
        <v>282731.42000000004</v>
      </c>
      <c r="L79" s="24">
        <f>IF(K79=0,"NA",(+J79-K79)/K79)</f>
        <v>-0.19501698820739491</v>
      </c>
      <c r="M79" s="298"/>
    </row>
    <row r="80" spans="1:13" ht="23" customHeight="1" x14ac:dyDescent="0.35">
      <c r="A80" s="42">
        <v>130</v>
      </c>
      <c r="B80" s="6" t="str">
        <f>+'New Year-Full Year'!B140</f>
        <v>Facilities</v>
      </c>
      <c r="H80" s="38"/>
    </row>
    <row r="81" spans="1:12" ht="19.5" customHeight="1" x14ac:dyDescent="0.35">
      <c r="A81" s="42">
        <v>131</v>
      </c>
      <c r="B81" s="868" t="str">
        <f>+'New Year-Full Year'!B141</f>
        <v>Utilities</v>
      </c>
      <c r="H81" s="38"/>
    </row>
    <row r="82" spans="1:12" x14ac:dyDescent="0.35">
      <c r="A82" s="42">
        <v>132</v>
      </c>
      <c r="C82" s="1" t="str">
        <f>+'New Year-Full Year'!C142</f>
        <v>Electric</v>
      </c>
      <c r="E82" s="37">
        <f>+'New Year-Full Year'!P142</f>
        <v>12000</v>
      </c>
      <c r="F82" s="37">
        <f>+'New Year-Full Year'!Q142</f>
        <v>11000</v>
      </c>
      <c r="G82" s="37">
        <f t="shared" ref="G82:G87" si="15">+E82-F82</f>
        <v>1000</v>
      </c>
      <c r="H82" s="3">
        <f t="shared" ref="H82:H88" si="16">IF(F82=0,"NA",(+E82-F82)/F82)</f>
        <v>9.0909090909090912E-2</v>
      </c>
      <c r="J82" s="37">
        <f>+'New Year-Full Year'!U142</f>
        <v>9833.43</v>
      </c>
      <c r="K82" s="37">
        <f>+'New Year-Full Year'!V142</f>
        <v>9166.7000000000007</v>
      </c>
      <c r="L82" s="3">
        <f t="shared" ref="L82:L88" si="17">IF(K82=0,"NA",(+J82-K82)/K82)</f>
        <v>7.2733917331209652E-2</v>
      </c>
    </row>
    <row r="83" spans="1:12" x14ac:dyDescent="0.35">
      <c r="A83" s="42">
        <v>133</v>
      </c>
      <c r="C83" s="1" t="str">
        <f>+'New Year-Full Year'!C143</f>
        <v>Gas</v>
      </c>
      <c r="E83" s="37">
        <f>+'New Year-Full Year'!P143</f>
        <v>8400</v>
      </c>
      <c r="F83" s="37">
        <f>+'New Year-Full Year'!Q143</f>
        <v>8400</v>
      </c>
      <c r="G83" s="37">
        <f t="shared" si="15"/>
        <v>0</v>
      </c>
      <c r="H83" s="3">
        <f t="shared" si="16"/>
        <v>0</v>
      </c>
      <c r="J83" s="37">
        <f>+'New Year-Full Year'!U143</f>
        <v>6160.51</v>
      </c>
      <c r="K83" s="37">
        <f>+'New Year-Full Year'!V143</f>
        <v>7000</v>
      </c>
      <c r="L83" s="3">
        <f t="shared" si="17"/>
        <v>-0.11992714285714283</v>
      </c>
    </row>
    <row r="84" spans="1:12" x14ac:dyDescent="0.35">
      <c r="A84" s="42">
        <v>134</v>
      </c>
      <c r="C84" s="1" t="str">
        <f>+'New Year-Full Year'!C144</f>
        <v>Telephone</v>
      </c>
      <c r="E84" s="37">
        <f>+'New Year-Full Year'!P144</f>
        <v>5100</v>
      </c>
      <c r="F84" s="37">
        <f>+'New Year-Full Year'!Q144</f>
        <v>4800</v>
      </c>
      <c r="G84" s="37">
        <f t="shared" si="15"/>
        <v>300</v>
      </c>
      <c r="H84" s="3">
        <f t="shared" si="16"/>
        <v>6.25E-2</v>
      </c>
      <c r="J84" s="37">
        <f>+'New Year-Full Year'!U144</f>
        <v>4018.3</v>
      </c>
      <c r="K84" s="37">
        <f>+'New Year-Full Year'!V144</f>
        <v>4000</v>
      </c>
      <c r="L84" s="3">
        <f t="shared" si="17"/>
        <v>4.5750000000000452E-3</v>
      </c>
    </row>
    <row r="85" spans="1:12" x14ac:dyDescent="0.35">
      <c r="A85" s="42">
        <v>135</v>
      </c>
      <c r="C85" s="1" t="str">
        <f>+'New Year-Full Year'!C145</f>
        <v>Water</v>
      </c>
      <c r="E85" s="37">
        <f>+'New Year-Full Year'!P145</f>
        <v>1800</v>
      </c>
      <c r="F85" s="37">
        <f>+'New Year-Full Year'!Q145</f>
        <v>1800</v>
      </c>
      <c r="G85" s="37">
        <f t="shared" si="15"/>
        <v>0</v>
      </c>
      <c r="H85" s="3">
        <f t="shared" si="16"/>
        <v>0</v>
      </c>
      <c r="J85" s="37">
        <f>+'New Year-Full Year'!U145</f>
        <v>999.86</v>
      </c>
      <c r="K85" s="37">
        <f>+'New Year-Full Year'!V145</f>
        <v>1800</v>
      </c>
      <c r="L85" s="3">
        <f t="shared" si="17"/>
        <v>-0.44452222222222221</v>
      </c>
    </row>
    <row r="86" spans="1:12" x14ac:dyDescent="0.35">
      <c r="A86" s="42">
        <v>136</v>
      </c>
      <c r="C86" s="1" t="str">
        <f>+'New Year-Full Year'!C146</f>
        <v>Security</v>
      </c>
      <c r="E86" s="37">
        <f>+'New Year-Full Year'!P146</f>
        <v>350</v>
      </c>
      <c r="F86" s="37">
        <f>+'New Year-Full Year'!Q146</f>
        <v>350</v>
      </c>
      <c r="G86" s="37">
        <f t="shared" si="15"/>
        <v>0</v>
      </c>
      <c r="H86" s="3">
        <f t="shared" si="16"/>
        <v>0</v>
      </c>
      <c r="J86" s="37">
        <f>+'New Year-Full Year'!U146</f>
        <v>263.39999999999998</v>
      </c>
      <c r="K86" s="37">
        <f>+'New Year-Full Year'!V146</f>
        <v>291.7</v>
      </c>
      <c r="L86" s="3">
        <f t="shared" si="17"/>
        <v>-9.7017483716146768E-2</v>
      </c>
    </row>
    <row r="87" spans="1:12" x14ac:dyDescent="0.35">
      <c r="A87" s="42">
        <v>138</v>
      </c>
      <c r="C87" s="1" t="str">
        <f>+'New Year-Full Year'!C147</f>
        <v>City Assessment</v>
      </c>
      <c r="E87" s="37">
        <f>+'New Year-Full Year'!P147</f>
        <v>7000</v>
      </c>
      <c r="F87" s="37">
        <f>+'New Year-Full Year'!Q147</f>
        <v>6052</v>
      </c>
      <c r="G87" s="37">
        <f t="shared" si="15"/>
        <v>948</v>
      </c>
      <c r="H87" s="3">
        <f t="shared" si="16"/>
        <v>0.1566424322538004</v>
      </c>
      <c r="J87" s="37">
        <f>+'New Year-Full Year'!U147</f>
        <v>6442.82</v>
      </c>
      <c r="K87" s="37">
        <f>+'New Year-Full Year'!V147</f>
        <v>6052</v>
      </c>
      <c r="L87" s="3">
        <f t="shared" si="17"/>
        <v>6.4576999339061414E-2</v>
      </c>
    </row>
    <row r="88" spans="1:12" s="2" customFormat="1" x14ac:dyDescent="0.35">
      <c r="A88" s="42">
        <v>139</v>
      </c>
      <c r="B88" s="26" t="str">
        <f>+'New Year-Full Year'!B148</f>
        <v>Total Utilities</v>
      </c>
      <c r="C88" s="26"/>
      <c r="D88" s="26"/>
      <c r="E88" s="26">
        <f>SUM(E82:E87)</f>
        <v>34650</v>
      </c>
      <c r="F88" s="26">
        <f>SUM(F82:F87)</f>
        <v>32402</v>
      </c>
      <c r="G88" s="26">
        <f>SUM(G82:G87)</f>
        <v>2248</v>
      </c>
      <c r="H88" s="27">
        <f t="shared" si="16"/>
        <v>6.9378433430035177E-2</v>
      </c>
      <c r="J88" s="26">
        <f>SUM(J82:J87)</f>
        <v>27718.320000000003</v>
      </c>
      <c r="K88" s="26">
        <f>SUM(K82:K87)</f>
        <v>28310.400000000001</v>
      </c>
      <c r="L88" s="27">
        <f t="shared" si="17"/>
        <v>-2.0913869108172195E-2</v>
      </c>
    </row>
    <row r="89" spans="1:12" ht="19.5" customHeight="1" x14ac:dyDescent="0.35">
      <c r="A89" s="42">
        <v>141</v>
      </c>
      <c r="B89" s="868" t="str">
        <f>+'New Year-Full Year'!B149</f>
        <v>Church Maintenance</v>
      </c>
      <c r="H89" s="38"/>
    </row>
    <row r="90" spans="1:12" x14ac:dyDescent="0.35">
      <c r="A90" s="42">
        <v>142</v>
      </c>
      <c r="C90" s="1" t="str">
        <f>+'New Year-Full Year'!C150</f>
        <v>Insurance</v>
      </c>
      <c r="E90" s="37">
        <f>+'New Year-Full Year'!P150</f>
        <v>14000</v>
      </c>
      <c r="F90" s="37">
        <f>+'New Year-Full Year'!Q150</f>
        <v>13400</v>
      </c>
      <c r="G90" s="37">
        <f>+E90-F90</f>
        <v>600</v>
      </c>
      <c r="H90" s="3">
        <f t="shared" ref="H90:H97" si="18">IF(F90=0,"NA",(+E90-F90)/F90)</f>
        <v>4.4776119402985072E-2</v>
      </c>
      <c r="J90" s="37">
        <f>+'New Year-Full Year'!U150</f>
        <v>10455</v>
      </c>
      <c r="K90" s="37">
        <f>+'New Year-Full Year'!V150</f>
        <v>10050</v>
      </c>
      <c r="L90" s="3">
        <f t="shared" ref="L90:L97" si="19">IF(K90=0,"NA",(+J90-K90)/K90)</f>
        <v>4.0298507462686567E-2</v>
      </c>
    </row>
    <row r="91" spans="1:12" x14ac:dyDescent="0.35">
      <c r="A91" s="42">
        <v>143</v>
      </c>
      <c r="C91" s="1" t="str">
        <f>+'New Year-Full Year'!C152</f>
        <v>Snow Removal</v>
      </c>
      <c r="E91" s="37">
        <f>+'New Year-Full Year'!P152</f>
        <v>6000</v>
      </c>
      <c r="F91" s="37">
        <f>+'New Year-Full Year'!Q152</f>
        <v>6000</v>
      </c>
      <c r="G91" s="37">
        <f>+E91-F91</f>
        <v>0</v>
      </c>
      <c r="H91" s="3">
        <f t="shared" si="18"/>
        <v>0</v>
      </c>
      <c r="J91" s="37">
        <f>+'New Year-Full Year'!U152</f>
        <v>3112.4</v>
      </c>
      <c r="K91" s="37">
        <f>+'New Year-Full Year'!V152</f>
        <v>4800</v>
      </c>
      <c r="L91" s="3">
        <f t="shared" si="19"/>
        <v>-0.3515833333333333</v>
      </c>
    </row>
    <row r="92" spans="1:12" x14ac:dyDescent="0.35">
      <c r="A92" s="42">
        <v>144</v>
      </c>
      <c r="C92" s="1" t="str">
        <f>+'New Year-Full Year'!C153</f>
        <v>Maint.  Supplies</v>
      </c>
      <c r="E92" s="37">
        <f>+'New Year-Full Year'!P153</f>
        <v>4500</v>
      </c>
      <c r="F92" s="37">
        <f>+'New Year-Full Year'!Q153</f>
        <v>4500</v>
      </c>
      <c r="G92" s="37">
        <f>+E92-F92</f>
        <v>0</v>
      </c>
      <c r="H92" s="3">
        <f t="shared" si="18"/>
        <v>0</v>
      </c>
      <c r="J92" s="37">
        <f>+'New Year-Full Year'!U153</f>
        <v>3715</v>
      </c>
      <c r="K92" s="37">
        <f>+'New Year-Full Year'!V153</f>
        <v>3750</v>
      </c>
      <c r="L92" s="3">
        <f t="shared" si="19"/>
        <v>-9.3333333333333341E-3</v>
      </c>
    </row>
    <row r="93" spans="1:12" ht="15" customHeight="1" x14ac:dyDescent="0.35">
      <c r="A93" s="42">
        <v>145</v>
      </c>
      <c r="C93" s="1" t="str">
        <f>+'New Year-Full Year'!C154</f>
        <v>Maintenance Contracts</v>
      </c>
      <c r="D93" s="73"/>
      <c r="E93" s="37">
        <f>+'New Year-Full Year'!P154</f>
        <v>6000</v>
      </c>
      <c r="F93" s="37">
        <f>+'New Year-Full Year'!Q154</f>
        <v>6000</v>
      </c>
      <c r="G93" s="37">
        <f>+E93-F93</f>
        <v>0</v>
      </c>
      <c r="H93" s="3">
        <f t="shared" si="18"/>
        <v>0</v>
      </c>
      <c r="J93" s="37">
        <f>+'New Year-Full Year'!U154</f>
        <v>5004.3100000000004</v>
      </c>
      <c r="K93" s="37">
        <f>+'New Year-Full Year'!V154</f>
        <v>5000</v>
      </c>
      <c r="L93" s="3">
        <f t="shared" si="19"/>
        <v>8.6200000000008004E-4</v>
      </c>
    </row>
    <row r="94" spans="1:12" x14ac:dyDescent="0.35">
      <c r="A94" s="42">
        <v>146</v>
      </c>
      <c r="C94" s="1" t="str">
        <f>+'New Year-Full Year'!C155</f>
        <v>Building Repairs</v>
      </c>
      <c r="E94" s="37">
        <f>+'New Year-Full Year'!P155</f>
        <v>10000</v>
      </c>
      <c r="F94" s="37">
        <f>+'New Year-Full Year'!Q155</f>
        <v>10000</v>
      </c>
      <c r="G94" s="37">
        <f>+E94-F94</f>
        <v>0</v>
      </c>
      <c r="H94" s="3">
        <f t="shared" si="18"/>
        <v>0</v>
      </c>
      <c r="J94" s="37">
        <f>+'New Year-Full Year'!U155</f>
        <v>850</v>
      </c>
      <c r="K94" s="37">
        <f>+'New Year-Full Year'!V155</f>
        <v>8333.2999999999993</v>
      </c>
      <c r="L94" s="3">
        <f t="shared" si="19"/>
        <v>-0.89799959199836799</v>
      </c>
    </row>
    <row r="95" spans="1:12" hidden="1" x14ac:dyDescent="0.35">
      <c r="A95" s="42">
        <v>149</v>
      </c>
      <c r="C95" s="1" t="str">
        <f>+'New Year-Full Year'!C156</f>
        <v>Interest-Line of Credit</v>
      </c>
      <c r="E95" s="37">
        <f>+'New Year-Full Year'!P156</f>
        <v>0</v>
      </c>
      <c r="F95" s="37">
        <f>+'New Year-Full Year'!Q156</f>
        <v>0</v>
      </c>
      <c r="G95" s="37"/>
      <c r="H95" s="3" t="str">
        <f t="shared" si="18"/>
        <v>NA</v>
      </c>
      <c r="J95" s="37">
        <f>+'New Year-Full Year'!U156</f>
        <v>0</v>
      </c>
      <c r="K95" s="37">
        <f>+'New Year-Full Year'!V156</f>
        <v>0</v>
      </c>
      <c r="L95" s="3" t="str">
        <f t="shared" si="19"/>
        <v>NA</v>
      </c>
    </row>
    <row r="96" spans="1:12" s="2" customFormat="1" x14ac:dyDescent="0.35">
      <c r="A96" s="42">
        <v>150</v>
      </c>
      <c r="B96" s="26" t="str">
        <f>+'New Year-Full Year'!B157</f>
        <v>Total Church Maintenance</v>
      </c>
      <c r="C96" s="26"/>
      <c r="D96" s="26"/>
      <c r="E96" s="26">
        <f>SUM(E90:E95)</f>
        <v>40500</v>
      </c>
      <c r="F96" s="26">
        <f>SUM(F90:F95)</f>
        <v>39900</v>
      </c>
      <c r="G96" s="26">
        <f>SUM(G90:G95)</f>
        <v>600</v>
      </c>
      <c r="H96" s="27">
        <f t="shared" si="18"/>
        <v>1.5037593984962405E-2</v>
      </c>
      <c r="J96" s="26">
        <f>SUM(J90:J95)</f>
        <v>23136.710000000003</v>
      </c>
      <c r="K96" s="26">
        <f>SUM(K90:K95)</f>
        <v>31933.3</v>
      </c>
      <c r="L96" s="27">
        <f t="shared" si="19"/>
        <v>-0.27546761531066305</v>
      </c>
    </row>
    <row r="97" spans="1:12" x14ac:dyDescent="0.35">
      <c r="A97" s="42">
        <v>151</v>
      </c>
      <c r="B97" s="26" t="str">
        <f>+'New Year-Full Year'!B158</f>
        <v>TOTAL FACILITIES</v>
      </c>
      <c r="C97" s="26"/>
      <c r="D97" s="26"/>
      <c r="E97" s="26">
        <f>+E88+E96</f>
        <v>75150</v>
      </c>
      <c r="F97" s="26">
        <f>+F88+F96</f>
        <v>72302</v>
      </c>
      <c r="G97" s="26">
        <f>+G88+G96</f>
        <v>2848</v>
      </c>
      <c r="H97" s="27">
        <f t="shared" si="18"/>
        <v>3.9390334983817873E-2</v>
      </c>
      <c r="J97" s="26">
        <f>+J88+J96</f>
        <v>50855.030000000006</v>
      </c>
      <c r="K97" s="26">
        <f>+K88+K96</f>
        <v>60243.7</v>
      </c>
      <c r="L97" s="27">
        <f t="shared" si="19"/>
        <v>-0.15584484352720684</v>
      </c>
    </row>
    <row r="98" spans="1:12" ht="23" customHeight="1" x14ac:dyDescent="0.35">
      <c r="A98" s="42">
        <v>154</v>
      </c>
      <c r="B98" s="771" t="str">
        <f>+'New Year-Full Year'!B159</f>
        <v>Restricted Funds</v>
      </c>
      <c r="H98" s="38"/>
    </row>
    <row r="99" spans="1:12" x14ac:dyDescent="0.35">
      <c r="A99" s="42">
        <v>155</v>
      </c>
      <c r="C99" s="1" t="str">
        <f>'New Year-Full Year'!C160</f>
        <v>Operating Fund Reserve</v>
      </c>
      <c r="E99" s="37">
        <f>SUM('New Year-Full Year'!P160:P160)</f>
        <v>0</v>
      </c>
      <c r="F99" s="37">
        <f>SUM('New Year-Full Year'!Q160:Q160)</f>
        <v>-23257</v>
      </c>
      <c r="G99" s="37">
        <f>+E99-F99</f>
        <v>23257</v>
      </c>
      <c r="H99" s="3">
        <f t="shared" ref="H99:H105" si="20">IF(F99=0,"NA",(+E99-F99)/F99)</f>
        <v>-1</v>
      </c>
      <c r="J99" s="37">
        <f>SUM('New Year-Full Year'!U160:U160)</f>
        <v>0</v>
      </c>
      <c r="K99" s="37">
        <f>SUM('New Year-Full Year'!V160:V160)</f>
        <v>0</v>
      </c>
      <c r="L99" s="3" t="str">
        <f t="shared" ref="L99:L105" si="21">IF(K99=0,"NA",(+J99-K99)/K99)</f>
        <v>NA</v>
      </c>
    </row>
    <row r="100" spans="1:12" hidden="1" x14ac:dyDescent="0.35">
      <c r="C100" s="1" t="str">
        <f>'New Year-Full Year'!C161</f>
        <v>Pastor Transition</v>
      </c>
      <c r="E100" s="37">
        <f>SUM('New Year-Full Year'!P161:P161)</f>
        <v>0</v>
      </c>
      <c r="F100" s="37">
        <f>SUM('New Year-Full Year'!Q161:Q161)</f>
        <v>0</v>
      </c>
      <c r="G100" s="37">
        <f>+E100-F100</f>
        <v>0</v>
      </c>
      <c r="H100" s="3" t="str">
        <f>IF(F100=0,"NA",(+E100-F100)/F100)</f>
        <v>NA</v>
      </c>
      <c r="J100" s="37">
        <f>SUM('New Year-Full Year'!U161:U161)</f>
        <v>0</v>
      </c>
      <c r="K100" s="37">
        <f>SUM('New Year-Full Year'!V161:V161)</f>
        <v>0</v>
      </c>
      <c r="L100" s="3" t="str">
        <f>IF(K100=0,"NA",(+J100-K100)/K100)</f>
        <v>NA</v>
      </c>
    </row>
    <row r="101" spans="1:12" ht="14.5" customHeight="1" x14ac:dyDescent="0.35">
      <c r="A101" s="42">
        <v>156</v>
      </c>
      <c r="C101" s="1" t="str">
        <f>'New Year-Full Year'!C162</f>
        <v>Facilities Fund Reserve</v>
      </c>
      <c r="E101" s="37">
        <f>+'New Year-Full Year'!P162</f>
        <v>0</v>
      </c>
      <c r="F101" s="37">
        <f>+'New Year-Full Year'!Q162</f>
        <v>0</v>
      </c>
      <c r="G101" s="37">
        <f>+E101-F101</f>
        <v>0</v>
      </c>
      <c r="H101" s="3" t="str">
        <f t="shared" si="20"/>
        <v>NA</v>
      </c>
      <c r="J101" s="37">
        <f>+'New Year-Full Year'!U162</f>
        <v>0</v>
      </c>
      <c r="K101" s="37">
        <f>+'New Year-Full Year'!V162</f>
        <v>0</v>
      </c>
      <c r="L101" s="3" t="str">
        <f t="shared" si="21"/>
        <v>NA</v>
      </c>
    </row>
    <row r="102" spans="1:12" ht="14.5" hidden="1" customHeight="1" x14ac:dyDescent="0.35">
      <c r="A102" s="42">
        <v>157</v>
      </c>
      <c r="C102" s="1" t="str">
        <f>'New Year-Full Year'!C163</f>
        <v>Facilities Maintenance</v>
      </c>
      <c r="E102" s="37">
        <f>+'New Year-Full Year'!P163</f>
        <v>0</v>
      </c>
      <c r="F102" s="37">
        <f>+'New Year-Full Year'!Q163</f>
        <v>0</v>
      </c>
      <c r="G102" s="37">
        <f>+E102-F102</f>
        <v>0</v>
      </c>
      <c r="H102" s="3" t="str">
        <f t="shared" si="20"/>
        <v>NA</v>
      </c>
      <c r="J102" s="37">
        <f>+'New Year-Full Year'!U163</f>
        <v>0</v>
      </c>
      <c r="K102" s="37">
        <f>+'New Year-Full Year'!V163</f>
        <v>0</v>
      </c>
      <c r="L102" s="770" t="s">
        <v>443</v>
      </c>
    </row>
    <row r="103" spans="1:12" x14ac:dyDescent="0.35">
      <c r="C103" s="1" t="s">
        <v>173</v>
      </c>
      <c r="E103" s="37">
        <f>+'New Year-Full Year'!P164</f>
        <v>0</v>
      </c>
      <c r="F103" s="37">
        <f>+'New Year-Full Year'!Q164</f>
        <v>0</v>
      </c>
      <c r="G103" s="37">
        <f>+E103-F103</f>
        <v>0</v>
      </c>
      <c r="H103" s="3" t="str">
        <f t="shared" si="20"/>
        <v>NA</v>
      </c>
      <c r="J103" s="37">
        <f>+'New Year-Full Year'!U164</f>
        <v>0</v>
      </c>
      <c r="K103" s="37">
        <f>+'New Year-Full Year'!V164</f>
        <v>0</v>
      </c>
      <c r="L103" s="3" t="str">
        <f t="shared" si="21"/>
        <v>NA</v>
      </c>
    </row>
    <row r="104" spans="1:12" hidden="1" x14ac:dyDescent="0.35">
      <c r="A104" s="42">
        <v>158</v>
      </c>
      <c r="C104" s="1" t="str">
        <f>'New Year-Full Year'!C165</f>
        <v>Line of Credit Payment</v>
      </c>
      <c r="E104" s="37">
        <f>+'New Year-Full Year'!P165</f>
        <v>0</v>
      </c>
      <c r="F104" s="37">
        <f>+'New Year-Full Year'!Q165</f>
        <v>0</v>
      </c>
      <c r="G104" s="37"/>
      <c r="H104" s="3" t="str">
        <f t="shared" si="20"/>
        <v>NA</v>
      </c>
      <c r="J104" s="37">
        <f>+'New Year-Full Year'!U165</f>
        <v>0</v>
      </c>
      <c r="K104" s="37">
        <f>+'New Year-Full Year'!V165</f>
        <v>0</v>
      </c>
      <c r="L104" s="3" t="str">
        <f t="shared" si="21"/>
        <v>NA</v>
      </c>
    </row>
    <row r="105" spans="1:12" s="2" customFormat="1" x14ac:dyDescent="0.35">
      <c r="A105" s="42">
        <v>159</v>
      </c>
      <c r="B105" s="28" t="str">
        <f>+'New Year-Full Year'!B166</f>
        <v>Total Restricted Funds</v>
      </c>
      <c r="C105" s="28"/>
      <c r="D105" s="28"/>
      <c r="E105" s="28">
        <f>SUM(E99:E104)</f>
        <v>0</v>
      </c>
      <c r="F105" s="28">
        <f>SUM(F99:F104)</f>
        <v>-23257</v>
      </c>
      <c r="G105" s="28">
        <f>SUM(G99:G104)</f>
        <v>23257</v>
      </c>
      <c r="H105" s="29">
        <f t="shared" si="20"/>
        <v>-1</v>
      </c>
      <c r="J105" s="28">
        <f>SUM(J99:J104)</f>
        <v>0</v>
      </c>
      <c r="K105" s="28">
        <f>SUM(K99:K104)</f>
        <v>0</v>
      </c>
      <c r="L105" s="29" t="str">
        <f t="shared" si="21"/>
        <v>NA</v>
      </c>
    </row>
    <row r="106" spans="1:12" ht="7.5" customHeight="1" x14ac:dyDescent="0.35">
      <c r="A106" s="42">
        <v>160</v>
      </c>
      <c r="H106" s="38"/>
    </row>
    <row r="107" spans="1:12" x14ac:dyDescent="0.35">
      <c r="A107" s="42">
        <v>161</v>
      </c>
      <c r="B107" s="30" t="str">
        <f>+'New Year-Full Year'!B168</f>
        <v>TOTAL EXPENSES</v>
      </c>
      <c r="C107" s="31"/>
      <c r="D107" s="31"/>
      <c r="E107" s="30">
        <f>+E72+E97+E105+E32+E79</f>
        <v>416000</v>
      </c>
      <c r="F107" s="30">
        <f>+F72+F97+F105+F32+F79</f>
        <v>458000</v>
      </c>
      <c r="G107" s="30">
        <f>+G72+G97+G105+G32+G79</f>
        <v>-42000</v>
      </c>
      <c r="H107" s="32">
        <f>IF(F107=0,"NA",(+E107-F107)/F107)</f>
        <v>-9.1703056768558958E-2</v>
      </c>
      <c r="J107" s="30">
        <f>+J72+J97+J105+J32+J79</f>
        <v>324361.66000000003</v>
      </c>
      <c r="K107" s="30">
        <f>+K72+K97+K105+K32+K79</f>
        <v>399910.16000000003</v>
      </c>
      <c r="L107" s="32">
        <f>IF(K107=0,"NA",(+J107-K107)/K107)</f>
        <v>-0.18891368001253081</v>
      </c>
    </row>
    <row r="108" spans="1:12" x14ac:dyDescent="0.35">
      <c r="A108" s="42">
        <v>162</v>
      </c>
      <c r="B108" s="30" t="str">
        <f>+'New Year-Full Year'!B169</f>
        <v>Income less Expense</v>
      </c>
      <c r="C108" s="31"/>
      <c r="D108" s="31"/>
      <c r="E108" s="30">
        <f>ROUND(E20-E107,0)</f>
        <v>0</v>
      </c>
      <c r="F108" s="30">
        <f>ROUND(F20-F107,0)</f>
        <v>0</v>
      </c>
      <c r="G108" s="30">
        <f>ROUND(G20-G107,0)</f>
        <v>0</v>
      </c>
      <c r="H108" s="32" t="str">
        <f>IF(F108=0,"NA",(+E108-F108)/F108)</f>
        <v>NA</v>
      </c>
      <c r="J108" s="30">
        <f>ROUND(J20-J107,0)</f>
        <v>57945</v>
      </c>
      <c r="K108" s="30">
        <f>ROUND(K20-K107,0)</f>
        <v>-20566</v>
      </c>
      <c r="L108" s="32">
        <f>IF(K108=0,"NA",(+J108-K108)/K108)</f>
        <v>-3.8175143440630168</v>
      </c>
    </row>
    <row r="109" spans="1:12" ht="7.25" customHeight="1" x14ac:dyDescent="0.35">
      <c r="H109" s="38"/>
    </row>
    <row r="110" spans="1:12" hidden="1" x14ac:dyDescent="0.35">
      <c r="B110" s="99" t="str">
        <f>+'New Year-Full Year'!B171</f>
        <v>Operating Income</v>
      </c>
      <c r="C110" s="100"/>
      <c r="D110" s="100"/>
      <c r="E110" s="115">
        <f>+E20-E18</f>
        <v>416000</v>
      </c>
      <c r="F110" s="115">
        <f>+F20-F18</f>
        <v>458000</v>
      </c>
      <c r="G110" s="115">
        <f>+G20-G18</f>
        <v>-42000</v>
      </c>
      <c r="H110" s="104">
        <f>IF(F110=0,"NA",(+E110-F110)/F110)</f>
        <v>-9.1703056768558958E-2</v>
      </c>
      <c r="I110" s="101"/>
      <c r="J110" s="115">
        <f>+J20-J18</f>
        <v>382306.32</v>
      </c>
      <c r="K110" s="115">
        <f>+K20-K18</f>
        <v>379344.07</v>
      </c>
      <c r="L110" s="105">
        <f>IF(K110=0,"NA",(+J110-K110)/K110)</f>
        <v>7.8088738806435009E-3</v>
      </c>
    </row>
    <row r="111" spans="1:12" hidden="1" x14ac:dyDescent="0.35">
      <c r="B111" s="106" t="str">
        <f>+'New Year-Full Year'!B172</f>
        <v>Operating Expenses</v>
      </c>
      <c r="C111" s="94"/>
      <c r="D111" s="94"/>
      <c r="E111" s="116">
        <f>+E107-E105</f>
        <v>416000</v>
      </c>
      <c r="F111" s="116">
        <f>+F107-F105</f>
        <v>481257</v>
      </c>
      <c r="G111" s="116">
        <f>+G107-G105</f>
        <v>-65257</v>
      </c>
      <c r="H111" s="98">
        <f>IF(F111=0,"NA",(+E111-F111)/F111)</f>
        <v>-0.13559698871912512</v>
      </c>
      <c r="I111" s="95"/>
      <c r="J111" s="116">
        <f>+J107-J105</f>
        <v>324361.66000000003</v>
      </c>
      <c r="K111" s="116">
        <f>+K107-K105</f>
        <v>399910.16000000003</v>
      </c>
      <c r="L111" s="107">
        <f>IF(K111=0,"NA",(+J111-K111)/K111)</f>
        <v>-0.18891368001253081</v>
      </c>
    </row>
    <row r="112" spans="1:12" ht="15" hidden="1" thickBot="1" x14ac:dyDescent="0.4">
      <c r="B112" s="108" t="str">
        <f>+'New Year-Full Year'!B173</f>
        <v>Net Operating Income/(Loss)</v>
      </c>
      <c r="C112" s="109"/>
      <c r="D112" s="109"/>
      <c r="E112" s="117">
        <f>+E110-E111</f>
        <v>0</v>
      </c>
      <c r="F112" s="117">
        <f>+F110-F111</f>
        <v>-23257</v>
      </c>
      <c r="G112" s="117">
        <f>+G110-G111</f>
        <v>23257</v>
      </c>
      <c r="H112" s="769" t="s">
        <v>443</v>
      </c>
      <c r="I112" s="111"/>
      <c r="J112" s="117">
        <f>+J110-J111</f>
        <v>57944.659999999974</v>
      </c>
      <c r="K112" s="117">
        <f>+K110-K111</f>
        <v>-20566.090000000026</v>
      </c>
      <c r="L112" s="768" t="s">
        <v>443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E18" sqref="E18"/>
    </sheetView>
  </sheetViews>
  <sheetFormatPr defaultRowHeight="14.5" x14ac:dyDescent="0.35"/>
  <cols>
    <col min="1" max="1" width="23.453125" customWidth="1"/>
    <col min="2" max="3" width="9.36328125" customWidth="1"/>
    <col min="6" max="6" width="3.1796875" customWidth="1"/>
    <col min="7" max="7" width="10.54296875" customWidth="1"/>
    <col min="11" max="11" width="9.81640625" bestFit="1" customWidth="1"/>
  </cols>
  <sheetData>
    <row r="1" spans="1:12" ht="55.5" customHeight="1" x14ac:dyDescent="0.35"/>
    <row r="2" spans="1:12" ht="21" x14ac:dyDescent="0.5">
      <c r="A2" s="1156" t="s">
        <v>397</v>
      </c>
      <c r="B2" s="1156"/>
      <c r="C2" s="1156"/>
      <c r="D2" s="1156"/>
      <c r="E2" s="1156"/>
      <c r="F2" s="1156"/>
      <c r="G2" s="1156"/>
      <c r="H2" s="693"/>
    </row>
    <row r="3" spans="1:12" ht="15" thickBot="1" x14ac:dyDescent="0.4"/>
    <row r="4" spans="1:12" ht="44.5" thickTop="1" thickBot="1" x14ac:dyDescent="0.4">
      <c r="B4" s="712" t="s">
        <v>735</v>
      </c>
      <c r="C4" s="713" t="s">
        <v>736</v>
      </c>
      <c r="D4" s="713" t="s">
        <v>445</v>
      </c>
      <c r="E4" s="714" t="s">
        <v>567</v>
      </c>
    </row>
    <row r="5" spans="1:12" ht="15" thickTop="1" x14ac:dyDescent="0.35">
      <c r="A5" s="711" t="s">
        <v>399</v>
      </c>
      <c r="B5" s="697">
        <f>ROUND(+'New Year-Full Year'!P20,0)</f>
        <v>416000</v>
      </c>
      <c r="C5" s="697">
        <f>ROUND(+'New Year-Full Year'!U20,0)</f>
        <v>382306</v>
      </c>
      <c r="D5" s="697">
        <f>ROUND(+'New Year-Full Year'!Q20,0)</f>
        <v>458000</v>
      </c>
      <c r="E5" s="698">
        <v>524505</v>
      </c>
      <c r="K5" s="695"/>
    </row>
    <row r="6" spans="1:12" x14ac:dyDescent="0.35">
      <c r="A6" s="699"/>
      <c r="B6" s="694"/>
      <c r="C6" s="694"/>
      <c r="D6" s="694"/>
      <c r="E6" s="1134"/>
      <c r="J6" s="695"/>
    </row>
    <row r="7" spans="1:12" x14ac:dyDescent="0.35">
      <c r="A7" s="696" t="s">
        <v>400</v>
      </c>
      <c r="B7" s="694"/>
      <c r="C7" s="694"/>
      <c r="D7" s="694"/>
      <c r="E7" s="1134"/>
    </row>
    <row r="8" spans="1:12" x14ac:dyDescent="0.35">
      <c r="A8" s="699" t="s">
        <v>402</v>
      </c>
      <c r="B8" s="701">
        <f>ROUND(+'New Year-Full Year'!P32,0)</f>
        <v>24900</v>
      </c>
      <c r="C8" s="701">
        <f>ROUND(+'New Year-Full Year'!U32,0)</f>
        <v>22563</v>
      </c>
      <c r="D8" s="701">
        <f>ROUND(+'New Year-Full Year'!Q32,0)</f>
        <v>27750</v>
      </c>
      <c r="E8" s="702">
        <v>41778</v>
      </c>
      <c r="J8" s="571"/>
      <c r="K8" s="1115"/>
      <c r="L8" s="571"/>
    </row>
    <row r="9" spans="1:12" x14ac:dyDescent="0.35">
      <c r="A9" s="699" t="s">
        <v>403</v>
      </c>
      <c r="B9" s="701">
        <f>ROUND(+'New Year-Full Year'!P78,0)</f>
        <v>31334</v>
      </c>
      <c r="C9" s="701">
        <f>ROUND(+'New Year-Full Year'!U78,0)</f>
        <v>23350</v>
      </c>
      <c r="D9" s="701">
        <f>ROUND(+'New Year-Full Year'!Q78,0)</f>
        <v>41084</v>
      </c>
      <c r="E9" s="702">
        <v>28015</v>
      </c>
    </row>
    <row r="10" spans="1:12" x14ac:dyDescent="0.35">
      <c r="A10" s="699" t="s">
        <v>404</v>
      </c>
      <c r="B10" s="701">
        <f>ROUND(+'New Year-Full Year'!P139,0)</f>
        <v>284616</v>
      </c>
      <c r="C10" s="701">
        <f>ROUND(+'New Year-Full Year'!U139,0)</f>
        <v>227594</v>
      </c>
      <c r="D10" s="701">
        <f>ROUND(+'New Year-Full Year'!Q139,0)</f>
        <v>340121</v>
      </c>
      <c r="E10" s="702">
        <v>287964</v>
      </c>
    </row>
    <row r="11" spans="1:12" ht="16" x14ac:dyDescent="0.5">
      <c r="A11" s="699" t="s">
        <v>405</v>
      </c>
      <c r="B11" s="703">
        <f>ROUND(+'New Year-Full Year'!P158,0)</f>
        <v>75150</v>
      </c>
      <c r="C11" s="703">
        <f>ROUND(+'New Year-Full Year'!U158,0)</f>
        <v>50855</v>
      </c>
      <c r="D11" s="703">
        <f>ROUND(+'New Year-Full Year'!Q158,0)</f>
        <v>72302</v>
      </c>
      <c r="E11" s="704">
        <v>60548</v>
      </c>
    </row>
    <row r="12" spans="1:12" x14ac:dyDescent="0.35">
      <c r="A12" s="696" t="s">
        <v>401</v>
      </c>
      <c r="B12" s="697">
        <f>SUM(B8:B11)</f>
        <v>416000</v>
      </c>
      <c r="C12" s="697">
        <f>SUM(C8:C11)</f>
        <v>324362</v>
      </c>
      <c r="D12" s="697">
        <f>SUM(D8:D11)</f>
        <v>481257</v>
      </c>
      <c r="E12" s="705">
        <f>SUM(E8:E11)</f>
        <v>418305</v>
      </c>
    </row>
    <row r="13" spans="1:12" ht="15" thickBot="1" x14ac:dyDescent="0.4">
      <c r="A13" s="699"/>
      <c r="B13" s="694"/>
      <c r="C13" s="694"/>
      <c r="D13" s="694"/>
      <c r="E13" s="700"/>
    </row>
    <row r="14" spans="1:12" ht="15" thickTop="1" x14ac:dyDescent="0.35">
      <c r="A14" s="696" t="s">
        <v>398</v>
      </c>
      <c r="B14" s="697">
        <f>+B5-B12</f>
        <v>0</v>
      </c>
      <c r="C14" s="697">
        <f>+C5-C12</f>
        <v>57944</v>
      </c>
      <c r="D14" s="697">
        <f>+D5-D12</f>
        <v>-23257</v>
      </c>
      <c r="E14" s="705">
        <f>+E5-E12</f>
        <v>106200</v>
      </c>
      <c r="G14" s="1153" t="s">
        <v>737</v>
      </c>
    </row>
    <row r="15" spans="1:12" x14ac:dyDescent="0.35">
      <c r="A15" s="699"/>
      <c r="B15" s="694"/>
      <c r="C15" s="694"/>
      <c r="D15" s="694"/>
      <c r="E15" s="700"/>
      <c r="G15" s="1154"/>
      <c r="H15" s="694"/>
    </row>
    <row r="16" spans="1:12" ht="15" thickBot="1" x14ac:dyDescent="0.4">
      <c r="A16" s="696" t="s">
        <v>406</v>
      </c>
      <c r="B16" s="694"/>
      <c r="C16" s="694"/>
      <c r="D16" s="694"/>
      <c r="E16" s="700"/>
      <c r="G16" s="1155"/>
      <c r="H16" s="694"/>
    </row>
    <row r="17" spans="1:8" ht="15" thickTop="1" x14ac:dyDescent="0.35">
      <c r="A17" s="699" t="s">
        <v>407</v>
      </c>
      <c r="B17" s="701">
        <f>ROUND(+'New Year-Full Year'!P160,0)</f>
        <v>0</v>
      </c>
      <c r="C17" s="701">
        <f>ROUND(+'New Year-Full Year'!U160,0)</f>
        <v>0</v>
      </c>
      <c r="D17" s="701">
        <f>ROUND(+'New Year-Full Year'!Q160,0)</f>
        <v>-23257</v>
      </c>
      <c r="E17" s="702">
        <v>53100</v>
      </c>
      <c r="G17" s="1132">
        <v>101904.66</v>
      </c>
      <c r="H17" s="694"/>
    </row>
    <row r="18" spans="1:8" x14ac:dyDescent="0.35">
      <c r="A18" s="699" t="s">
        <v>408</v>
      </c>
      <c r="B18" s="701">
        <f>ROUND(+'New Year-Full Year'!P162,0)</f>
        <v>0</v>
      </c>
      <c r="C18" s="701">
        <f>ROUND(+'New Year-Full Year'!U162,0)</f>
        <v>0</v>
      </c>
      <c r="D18" s="701">
        <f>ROUND(+'New Year-Full Year'!Q162,0)</f>
        <v>0</v>
      </c>
      <c r="E18" s="702">
        <v>25000</v>
      </c>
      <c r="G18" s="1132">
        <v>200536.49</v>
      </c>
      <c r="H18" s="694"/>
    </row>
    <row r="19" spans="1:8" x14ac:dyDescent="0.35">
      <c r="A19" s="699" t="s">
        <v>409</v>
      </c>
      <c r="B19" s="701">
        <f>ROUND(+'New Year-Full Year'!P163,0)</f>
        <v>0</v>
      </c>
      <c r="C19" s="701">
        <f>ROUND(+'New Year-Full Year'!U163,0)</f>
        <v>0</v>
      </c>
      <c r="D19" s="701">
        <f>ROUND(+'New Year-Full Year'!Q163,0)</f>
        <v>0</v>
      </c>
      <c r="E19" s="702">
        <v>0</v>
      </c>
      <c r="G19" s="1132">
        <v>17779</v>
      </c>
      <c r="H19" s="694"/>
    </row>
    <row r="20" spans="1:8" ht="16" x14ac:dyDescent="0.5">
      <c r="A20" s="699" t="s">
        <v>410</v>
      </c>
      <c r="B20" s="703">
        <f>ROUND(+'New Year-Full Year'!P164,0)</f>
        <v>0</v>
      </c>
      <c r="C20" s="703">
        <f>ROUND(+'New Year-Full Year'!U164,0)</f>
        <v>0</v>
      </c>
      <c r="D20" s="703">
        <f>ROUND(+'New Year-Full Year'!Q164,0)</f>
        <v>0</v>
      </c>
      <c r="E20" s="704">
        <v>28100</v>
      </c>
      <c r="G20" s="1133">
        <v>53860</v>
      </c>
      <c r="H20" s="694"/>
    </row>
    <row r="21" spans="1:8" ht="15" thickBot="1" x14ac:dyDescent="0.4">
      <c r="A21" s="696" t="s">
        <v>77</v>
      </c>
      <c r="B21" s="706">
        <f>SUM(B17:B20)</f>
        <v>0</v>
      </c>
      <c r="C21" s="706">
        <f>SUM(C17:C20)</f>
        <v>0</v>
      </c>
      <c r="D21" s="706">
        <f>SUM(D17:D20)</f>
        <v>-23257</v>
      </c>
      <c r="E21" s="707">
        <f>SUM(E17:E20)</f>
        <v>106200</v>
      </c>
      <c r="F21" s="695"/>
      <c r="G21" s="773">
        <f>SUM(G17:G20)</f>
        <v>374080.15</v>
      </c>
      <c r="H21" s="694"/>
    </row>
    <row r="22" spans="1:8" ht="15" thickTop="1" x14ac:dyDescent="0.35">
      <c r="A22" s="699"/>
      <c r="B22" s="715"/>
      <c r="C22" s="715"/>
      <c r="D22" s="715"/>
      <c r="E22" s="716"/>
    </row>
    <row r="23" spans="1:8" ht="15" thickBot="1" x14ac:dyDescent="0.4">
      <c r="A23" s="708" t="s">
        <v>411</v>
      </c>
      <c r="B23" s="774">
        <f>ROUND(+B14-B21,0)</f>
        <v>0</v>
      </c>
      <c r="C23" s="774">
        <f>ROUND(+C14-C21,0)</f>
        <v>57944</v>
      </c>
      <c r="D23" s="709">
        <f>+D14-D21</f>
        <v>0</v>
      </c>
      <c r="E23" s="710">
        <f>+E14-E21</f>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M224"/>
  <sheetViews>
    <sheetView showGridLines="0" topLeftCell="B3" workbookViewId="0">
      <pane xSplit="14" ySplit="2" topLeftCell="P19" activePane="bottomRight" state="frozen"/>
      <selection activeCell="I112" sqref="I112"/>
      <selection pane="topRight" activeCell="I112" sqref="I112"/>
      <selection pane="bottomLeft" activeCell="I112" sqref="I112"/>
      <selection pane="bottomRight" activeCell="D22" sqref="D22"/>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67" customWidth="1"/>
    <col min="25" max="25" width="76.6328125" style="54" hidden="1" customWidth="1"/>
    <col min="26" max="26" width="58.6328125" style="35" hidden="1" customWidth="1"/>
    <col min="27" max="27" width="8.6328125" style="1" customWidth="1"/>
    <col min="28" max="28" width="13" style="1" hidden="1" customWidth="1" outlineLevel="1"/>
    <col min="29" max="30" width="9.08984375" style="1" hidden="1" customWidth="1" outlineLevel="1"/>
    <col min="31" max="38" width="14.6328125" style="1" hidden="1" customWidth="1" outlineLevel="1"/>
    <col min="39" max="39" width="9.453125" style="1" bestFit="1" customWidth="1" collapsed="1"/>
    <col min="40" max="16384" width="9.08984375" style="1"/>
  </cols>
  <sheetData>
    <row r="1" spans="1:38" ht="41.25" customHeight="1" x14ac:dyDescent="0.35">
      <c r="B1" s="1136" t="s">
        <v>83</v>
      </c>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
    </row>
    <row r="2" spans="1:38" ht="23.25" customHeight="1" x14ac:dyDescent="0.35">
      <c r="P2" s="1141" t="s">
        <v>82</v>
      </c>
      <c r="Q2" s="1142"/>
      <c r="R2" s="1142"/>
      <c r="S2" s="1143"/>
      <c r="U2" s="1163" t="str">
        <f>Bud_Yr-1&amp;" Year to Date (YTD)"</f>
        <v>2022 Year to Date (YTD)</v>
      </c>
      <c r="V2" s="1164"/>
      <c r="W2" s="1165"/>
      <c r="X2" s="924"/>
    </row>
    <row r="3" spans="1:38" ht="27.65" customHeight="1" x14ac:dyDescent="0.35">
      <c r="P3" s="1172" t="str">
        <f>Bud_Yr&amp;" Budget"</f>
        <v>2023 Budget</v>
      </c>
      <c r="Q3" s="1173" t="str">
        <f>Bud_Yr-1&amp;" Budget"</f>
        <v>2022 Budget</v>
      </c>
      <c r="R3" s="1166" t="str">
        <f>Bud_Yr&amp;" Budget vs             "&amp;Bud_Yr-1&amp;" Budget"</f>
        <v>2023 Budget vs             2022 Budget</v>
      </c>
      <c r="S3" s="1167"/>
      <c r="T3" s="49"/>
      <c r="U3" s="1168" t="s">
        <v>723</v>
      </c>
      <c r="V3" s="1170" t="s">
        <v>724</v>
      </c>
      <c r="W3" s="1151" t="s">
        <v>81</v>
      </c>
      <c r="X3" s="925"/>
      <c r="AE3" s="1159" t="str">
        <f>Bud_Yr&amp;" Budget"</f>
        <v>2023 Budget</v>
      </c>
      <c r="AF3" s="1160"/>
      <c r="AG3" s="1160"/>
      <c r="AH3" s="1161"/>
      <c r="AI3" s="1159" t="str">
        <f>+U3</f>
        <v>October 2022 YTD Actual</v>
      </c>
      <c r="AJ3" s="1160"/>
      <c r="AK3" s="1160"/>
      <c r="AL3" s="1161"/>
    </row>
    <row r="4" spans="1:38" s="2" customFormat="1" x14ac:dyDescent="0.35">
      <c r="A4" s="43"/>
      <c r="D4" s="14"/>
      <c r="E4" s="77"/>
      <c r="F4" s="78"/>
      <c r="G4" s="78"/>
      <c r="H4" s="78"/>
      <c r="I4" s="78"/>
      <c r="J4" s="78"/>
      <c r="K4" s="78"/>
      <c r="L4" s="78"/>
      <c r="M4" s="78"/>
      <c r="N4" s="78"/>
      <c r="P4" s="1159"/>
      <c r="Q4" s="1160"/>
      <c r="R4" s="48" t="s">
        <v>108</v>
      </c>
      <c r="S4" s="50" t="s">
        <v>109</v>
      </c>
      <c r="U4" s="1169"/>
      <c r="V4" s="1171"/>
      <c r="W4" s="1152"/>
      <c r="X4" s="55" t="str">
        <f>Bud_Yr&amp;" Budget Notes"</f>
        <v>2023 Budget Notes</v>
      </c>
      <c r="Y4" s="55" t="str">
        <f>Bud_Yr&amp;" Budget Notes"</f>
        <v>2023 Budget Notes</v>
      </c>
      <c r="Z4" s="5" t="s">
        <v>110</v>
      </c>
      <c r="AE4" s="377" t="s">
        <v>323</v>
      </c>
      <c r="AF4" s="378" t="s">
        <v>272</v>
      </c>
      <c r="AG4" s="378" t="s">
        <v>273</v>
      </c>
      <c r="AH4" s="378" t="s">
        <v>274</v>
      </c>
      <c r="AI4" s="377" t="s">
        <v>323</v>
      </c>
      <c r="AJ4" s="378" t="s">
        <v>272</v>
      </c>
      <c r="AK4" s="378" t="s">
        <v>273</v>
      </c>
      <c r="AL4" s="378" t="s">
        <v>274</v>
      </c>
    </row>
    <row r="5" spans="1:38" s="2" customFormat="1" ht="23.5" x14ac:dyDescent="0.35">
      <c r="A5" s="43"/>
      <c r="B5" s="866" t="s">
        <v>0</v>
      </c>
      <c r="D5" s="14"/>
      <c r="E5" s="77"/>
      <c r="F5" s="78"/>
      <c r="G5" s="78"/>
      <c r="H5" s="78"/>
      <c r="I5" s="78"/>
      <c r="J5" s="78"/>
      <c r="K5" s="78"/>
      <c r="L5" s="78"/>
      <c r="M5" s="78"/>
      <c r="N5" s="78"/>
      <c r="P5" s="7"/>
      <c r="Q5" s="8"/>
      <c r="R5" s="39"/>
      <c r="S5" s="8"/>
      <c r="U5" s="8"/>
      <c r="V5" s="8"/>
      <c r="W5" s="8"/>
      <c r="X5" s="925"/>
      <c r="Y5" s="69"/>
      <c r="Z5" s="56"/>
    </row>
    <row r="6" spans="1:38" s="852" customFormat="1" ht="19.5" customHeight="1" x14ac:dyDescent="0.35">
      <c r="A6" s="851">
        <v>1</v>
      </c>
      <c r="B6" s="868" t="s">
        <v>1</v>
      </c>
      <c r="D6" s="853"/>
      <c r="E6" s="854"/>
      <c r="F6" s="855"/>
      <c r="G6" s="855"/>
      <c r="H6" s="855"/>
      <c r="I6" s="855"/>
      <c r="J6" s="855"/>
      <c r="K6" s="855"/>
      <c r="L6" s="855"/>
      <c r="M6" s="855"/>
      <c r="N6" s="855"/>
      <c r="W6" s="855"/>
      <c r="X6" s="926"/>
      <c r="Y6" s="869"/>
      <c r="Z6" s="870"/>
    </row>
    <row r="7" spans="1:38" x14ac:dyDescent="0.35">
      <c r="A7" s="42">
        <v>2</v>
      </c>
      <c r="C7" s="389" t="s">
        <v>1</v>
      </c>
      <c r="D7" s="390"/>
      <c r="E7" s="391"/>
      <c r="F7" s="392"/>
      <c r="G7" s="392"/>
      <c r="H7" s="392"/>
      <c r="I7" s="392"/>
      <c r="J7" s="392"/>
      <c r="K7" s="392"/>
      <c r="L7" s="392"/>
      <c r="M7" s="392"/>
      <c r="N7" s="392"/>
      <c r="O7" s="389"/>
      <c r="P7" s="397">
        <f>+Q7*(1-0.035)-20000-7361+247-560-280-168-1303</f>
        <v>400000</v>
      </c>
      <c r="Q7" s="397">
        <v>445000</v>
      </c>
      <c r="R7" s="394">
        <f t="shared" ref="R7:R13" si="0">+P7-Q7</f>
        <v>-45000</v>
      </c>
      <c r="S7" s="395">
        <f t="shared" ref="S7:S14" si="1">IF(Q7=0,"NA",(+P7-Q7)/Q7)</f>
        <v>-0.10112359550561797</v>
      </c>
      <c r="T7" s="389"/>
      <c r="U7" s="393">
        <v>370612.5</v>
      </c>
      <c r="V7" s="393">
        <v>372510.77</v>
      </c>
      <c r="W7" s="395">
        <f t="shared" ref="W7:W14" si="2">IF(V7=0,"NA",(+U7-V7)/V7)</f>
        <v>-5.0958795097387887E-3</v>
      </c>
      <c r="X7" s="1058"/>
      <c r="Y7" s="632" t="s">
        <v>548</v>
      </c>
      <c r="Z7" s="57" t="s">
        <v>117</v>
      </c>
    </row>
    <row r="8" spans="1:38" hidden="1" x14ac:dyDescent="0.35">
      <c r="C8" s="389"/>
      <c r="D8" s="390"/>
      <c r="E8" s="391"/>
      <c r="F8" s="392"/>
      <c r="G8" s="392"/>
      <c r="H8" s="392"/>
      <c r="I8" s="392"/>
      <c r="J8" s="392"/>
      <c r="K8" s="392"/>
      <c r="L8" s="392"/>
      <c r="M8" s="392"/>
      <c r="N8" s="392"/>
      <c r="O8" s="389"/>
      <c r="P8" s="397"/>
      <c r="Q8" s="397"/>
      <c r="R8" s="394"/>
      <c r="S8" s="395"/>
      <c r="T8" s="389"/>
      <c r="U8" s="393"/>
      <c r="V8" s="393"/>
      <c r="W8" s="395"/>
      <c r="X8" s="927"/>
      <c r="Y8" s="396" t="s">
        <v>547</v>
      </c>
      <c r="Z8" s="57"/>
    </row>
    <row r="9" spans="1:38" hidden="1" x14ac:dyDescent="0.35">
      <c r="C9" s="230" t="s">
        <v>575</v>
      </c>
      <c r="D9" s="240"/>
      <c r="E9" s="241"/>
      <c r="F9" s="242"/>
      <c r="G9" s="242"/>
      <c r="H9" s="242"/>
      <c r="I9" s="242"/>
      <c r="J9" s="242"/>
      <c r="K9" s="242"/>
      <c r="L9" s="242"/>
      <c r="M9" s="242"/>
      <c r="N9" s="242"/>
      <c r="O9" s="230"/>
      <c r="P9" s="227">
        <v>0</v>
      </c>
      <c r="Q9" s="227">
        <v>0</v>
      </c>
      <c r="R9" s="228">
        <f>+P9-Q9</f>
        <v>0</v>
      </c>
      <c r="S9" s="229" t="str">
        <f>IF(Q9=0,"NA",(+P9-Q9)/Q9)</f>
        <v>NA</v>
      </c>
      <c r="T9" s="230"/>
      <c r="U9" s="227">
        <v>0</v>
      </c>
      <c r="V9" s="227">
        <v>0</v>
      </c>
      <c r="W9" s="229" t="str">
        <f>IF(V9=0,"NA",(+U9-V9)/V9)</f>
        <v>NA</v>
      </c>
      <c r="X9" s="928"/>
      <c r="Y9" s="231"/>
      <c r="Z9" s="57"/>
    </row>
    <row r="10" spans="1:38" x14ac:dyDescent="0.35">
      <c r="A10" s="42">
        <v>4</v>
      </c>
      <c r="C10" s="230" t="s">
        <v>2</v>
      </c>
      <c r="D10" s="240"/>
      <c r="E10" s="241"/>
      <c r="F10" s="242"/>
      <c r="G10" s="242"/>
      <c r="H10" s="242"/>
      <c r="I10" s="242"/>
      <c r="J10" s="242"/>
      <c r="K10" s="242"/>
      <c r="L10" s="242"/>
      <c r="M10" s="242"/>
      <c r="N10" s="242"/>
      <c r="O10" s="230"/>
      <c r="P10" s="227">
        <v>3000</v>
      </c>
      <c r="Q10" s="227">
        <v>2000</v>
      </c>
      <c r="R10" s="228">
        <f t="shared" si="0"/>
        <v>1000</v>
      </c>
      <c r="S10" s="229">
        <f t="shared" si="1"/>
        <v>0.5</v>
      </c>
      <c r="T10" s="230"/>
      <c r="U10" s="227">
        <v>3541</v>
      </c>
      <c r="V10" s="227">
        <v>2000</v>
      </c>
      <c r="W10" s="229">
        <f t="shared" si="2"/>
        <v>0.77049999999999996</v>
      </c>
      <c r="X10" s="928"/>
      <c r="Y10" s="231"/>
      <c r="Z10" s="57"/>
    </row>
    <row r="11" spans="1:38" x14ac:dyDescent="0.35">
      <c r="A11" s="42">
        <v>5</v>
      </c>
      <c r="C11" s="230" t="s">
        <v>3</v>
      </c>
      <c r="D11" s="240"/>
      <c r="E11" s="241"/>
      <c r="F11" s="242"/>
      <c r="G11" s="242"/>
      <c r="H11" s="242"/>
      <c r="I11" s="242"/>
      <c r="J11" s="242"/>
      <c r="K11" s="242"/>
      <c r="L11" s="242"/>
      <c r="M11" s="242"/>
      <c r="N11" s="242"/>
      <c r="O11" s="230"/>
      <c r="P11" s="227">
        <v>500</v>
      </c>
      <c r="Q11" s="227">
        <v>500</v>
      </c>
      <c r="R11" s="228">
        <f t="shared" si="0"/>
        <v>0</v>
      </c>
      <c r="S11" s="229">
        <f t="shared" si="1"/>
        <v>0</v>
      </c>
      <c r="T11" s="230"/>
      <c r="U11" s="227">
        <v>0</v>
      </c>
      <c r="V11" s="227">
        <v>0</v>
      </c>
      <c r="W11" s="229" t="str">
        <f t="shared" si="2"/>
        <v>NA</v>
      </c>
      <c r="X11" s="928"/>
      <c r="Y11" s="802"/>
      <c r="Z11" s="57"/>
    </row>
    <row r="12" spans="1:38" x14ac:dyDescent="0.35">
      <c r="A12" s="42">
        <v>6</v>
      </c>
      <c r="C12" s="230" t="s">
        <v>4</v>
      </c>
      <c r="D12" s="240"/>
      <c r="E12" s="241"/>
      <c r="F12" s="242"/>
      <c r="G12" s="242"/>
      <c r="H12" s="242"/>
      <c r="I12" s="242"/>
      <c r="J12" s="242"/>
      <c r="K12" s="242"/>
      <c r="L12" s="242"/>
      <c r="M12" s="242"/>
      <c r="N12" s="242"/>
      <c r="O12" s="230"/>
      <c r="P12" s="227">
        <v>5000</v>
      </c>
      <c r="Q12" s="227">
        <v>5000</v>
      </c>
      <c r="R12" s="228">
        <f t="shared" si="0"/>
        <v>0</v>
      </c>
      <c r="S12" s="229">
        <f t="shared" si="1"/>
        <v>0</v>
      </c>
      <c r="T12" s="230"/>
      <c r="U12" s="227">
        <v>0</v>
      </c>
      <c r="V12" s="227">
        <v>0</v>
      </c>
      <c r="W12" s="229" t="str">
        <f t="shared" si="2"/>
        <v>NA</v>
      </c>
      <c r="X12" s="928"/>
      <c r="Y12" s="231"/>
      <c r="Z12" s="57"/>
    </row>
    <row r="13" spans="1:38" x14ac:dyDescent="0.35">
      <c r="A13" s="42">
        <v>7</v>
      </c>
      <c r="C13" s="230" t="s">
        <v>5</v>
      </c>
      <c r="D13" s="240"/>
      <c r="E13" s="241"/>
      <c r="F13" s="242"/>
      <c r="G13" s="242"/>
      <c r="H13" s="242"/>
      <c r="I13" s="242"/>
      <c r="J13" s="242"/>
      <c r="K13" s="242"/>
      <c r="L13" s="242"/>
      <c r="M13" s="242"/>
      <c r="N13" s="242"/>
      <c r="O13" s="230"/>
      <c r="P13" s="227">
        <v>1500</v>
      </c>
      <c r="Q13" s="227">
        <v>1500</v>
      </c>
      <c r="R13" s="228">
        <f t="shared" si="0"/>
        <v>0</v>
      </c>
      <c r="S13" s="229">
        <f t="shared" si="1"/>
        <v>0</v>
      </c>
      <c r="T13" s="230"/>
      <c r="U13" s="227">
        <v>1886</v>
      </c>
      <c r="V13" s="227">
        <v>1500</v>
      </c>
      <c r="W13" s="229">
        <f t="shared" si="2"/>
        <v>0.25733333333333336</v>
      </c>
      <c r="X13" s="928"/>
      <c r="Y13" s="231"/>
      <c r="Z13" s="57"/>
    </row>
    <row r="14" spans="1:38" x14ac:dyDescent="0.35">
      <c r="A14" s="42">
        <v>8</v>
      </c>
      <c r="B14" s="9" t="s">
        <v>6</v>
      </c>
      <c r="C14" s="9"/>
      <c r="D14" s="9"/>
      <c r="E14" s="79"/>
      <c r="F14" s="79"/>
      <c r="G14" s="79"/>
      <c r="H14" s="79"/>
      <c r="I14" s="79"/>
      <c r="J14" s="79"/>
      <c r="K14" s="79"/>
      <c r="L14" s="79"/>
      <c r="M14" s="79"/>
      <c r="N14" s="79"/>
      <c r="O14" s="9"/>
      <c r="P14" s="9">
        <f>SUM(P7:P13)</f>
        <v>410000</v>
      </c>
      <c r="Q14" s="9">
        <f>SUM(Q7:Q13)</f>
        <v>454000</v>
      </c>
      <c r="R14" s="9">
        <f>SUM(R7:R13)</f>
        <v>-44000</v>
      </c>
      <c r="S14" s="10">
        <f t="shared" si="1"/>
        <v>-9.6916299559471369E-2</v>
      </c>
      <c r="U14" s="9">
        <f>SUM(U7:U13)</f>
        <v>376039.5</v>
      </c>
      <c r="V14" s="9">
        <f>SUM(V7:V13)</f>
        <v>376010.77</v>
      </c>
      <c r="W14" s="10">
        <f t="shared" si="2"/>
        <v>7.6407385884136699E-5</v>
      </c>
      <c r="X14" s="929"/>
      <c r="Y14" s="70"/>
      <c r="Z14" s="58"/>
    </row>
    <row r="15" spans="1:38" s="852" customFormat="1" ht="19.5" customHeight="1" x14ac:dyDescent="0.35">
      <c r="A15" s="851">
        <v>10</v>
      </c>
      <c r="B15" s="868" t="s">
        <v>7</v>
      </c>
      <c r="D15" s="853"/>
      <c r="E15" s="854"/>
      <c r="F15" s="855"/>
      <c r="G15" s="855"/>
      <c r="H15" s="855"/>
      <c r="I15" s="855"/>
      <c r="J15" s="855"/>
      <c r="K15" s="855"/>
      <c r="L15" s="855"/>
      <c r="M15" s="855"/>
      <c r="N15" s="855"/>
      <c r="S15" s="855"/>
      <c r="W15" s="855"/>
      <c r="X15" s="926"/>
      <c r="Y15" s="856"/>
      <c r="Z15" s="857"/>
    </row>
    <row r="16" spans="1:38" ht="29" x14ac:dyDescent="0.35">
      <c r="A16" s="42">
        <v>11</v>
      </c>
      <c r="C16" s="225" t="s">
        <v>310</v>
      </c>
      <c r="D16" s="237"/>
      <c r="E16" s="238"/>
      <c r="F16" s="239"/>
      <c r="G16" s="239"/>
      <c r="H16" s="239"/>
      <c r="I16" s="239"/>
      <c r="J16" s="239"/>
      <c r="K16" s="239"/>
      <c r="L16" s="239"/>
      <c r="M16" s="239"/>
      <c r="N16" s="239"/>
      <c r="O16" s="225"/>
      <c r="P16" s="222">
        <v>6000</v>
      </c>
      <c r="Q16" s="222">
        <v>4000</v>
      </c>
      <c r="R16" s="223">
        <f>+P16-Q16</f>
        <v>2000</v>
      </c>
      <c r="S16" s="224">
        <f>IF(Q16=0,"NA",(+P16-Q16)/Q16)</f>
        <v>0.5</v>
      </c>
      <c r="T16" s="225"/>
      <c r="U16" s="222">
        <f>3175+3010.09+1.28+80</f>
        <v>6266.37</v>
      </c>
      <c r="V16" s="222">
        <v>3333.3</v>
      </c>
      <c r="W16" s="224">
        <f>IF(V16=0,"NA",(+U16-V16)/V16)</f>
        <v>0.87992979929799287</v>
      </c>
      <c r="X16" s="922" t="s">
        <v>641</v>
      </c>
      <c r="Y16" s="226" t="s">
        <v>576</v>
      </c>
      <c r="Z16" s="57"/>
    </row>
    <row r="17" spans="1:39" hidden="1" x14ac:dyDescent="0.35">
      <c r="A17" s="42">
        <v>14</v>
      </c>
      <c r="C17" s="230" t="s">
        <v>9</v>
      </c>
      <c r="D17" s="240"/>
      <c r="E17" s="241"/>
      <c r="F17" s="242"/>
      <c r="G17" s="242"/>
      <c r="H17" s="242"/>
      <c r="I17" s="242"/>
      <c r="J17" s="242"/>
      <c r="K17" s="242"/>
      <c r="L17" s="242"/>
      <c r="M17" s="242"/>
      <c r="N17" s="242"/>
      <c r="O17" s="230"/>
      <c r="P17" s="227">
        <v>0</v>
      </c>
      <c r="Q17" s="227">
        <v>0</v>
      </c>
      <c r="R17" s="228">
        <f>+P17-Q17</f>
        <v>0</v>
      </c>
      <c r="S17" s="229" t="str">
        <f>IF(Q17=0,"NA",(+P17-Q17)/Q17)</f>
        <v>NA</v>
      </c>
      <c r="T17" s="230"/>
      <c r="U17" s="227">
        <v>0.45</v>
      </c>
      <c r="V17" s="227">
        <v>0</v>
      </c>
      <c r="W17" s="229" t="str">
        <f>IF(V17=0,"NA",(+U17-V17)/V17)</f>
        <v>NA</v>
      </c>
      <c r="X17" s="1013"/>
      <c r="Y17" s="246"/>
      <c r="Z17" s="58"/>
    </row>
    <row r="18" spans="1:39" hidden="1" x14ac:dyDescent="0.35">
      <c r="A18" s="42">
        <v>15</v>
      </c>
      <c r="C18" s="235" t="s">
        <v>91</v>
      </c>
      <c r="D18" s="243"/>
      <c r="E18" s="244"/>
      <c r="F18" s="245"/>
      <c r="G18" s="245"/>
      <c r="H18" s="245"/>
      <c r="I18" s="245"/>
      <c r="J18" s="245"/>
      <c r="K18" s="245"/>
      <c r="L18" s="245"/>
      <c r="M18" s="245"/>
      <c r="N18" s="245"/>
      <c r="O18" s="235"/>
      <c r="P18" s="232">
        <v>0</v>
      </c>
      <c r="Q18" s="232">
        <v>0</v>
      </c>
      <c r="R18" s="233">
        <f>+P18-Q18</f>
        <v>0</v>
      </c>
      <c r="S18" s="234" t="str">
        <f>IF(Q18=0,"NA",(+P18-Q18)/Q18)</f>
        <v>NA</v>
      </c>
      <c r="T18" s="235"/>
      <c r="U18" s="232">
        <v>0</v>
      </c>
      <c r="V18" s="232">
        <v>0</v>
      </c>
      <c r="W18" s="234" t="str">
        <f>IF(V18=0,"NA",(+U18-V18)/V18)</f>
        <v>NA</v>
      </c>
      <c r="X18" s="923"/>
      <c r="Y18" s="247"/>
      <c r="Z18" s="58"/>
      <c r="AA18" s="1">
        <v>11000</v>
      </c>
    </row>
    <row r="19" spans="1:39" x14ac:dyDescent="0.35">
      <c r="A19" s="42">
        <v>16</v>
      </c>
      <c r="B19" s="9" t="s">
        <v>8</v>
      </c>
      <c r="C19" s="9"/>
      <c r="D19" s="9"/>
      <c r="E19" s="79"/>
      <c r="F19" s="79"/>
      <c r="G19" s="79"/>
      <c r="H19" s="79"/>
      <c r="I19" s="79"/>
      <c r="J19" s="79"/>
      <c r="K19" s="79"/>
      <c r="L19" s="79"/>
      <c r="M19" s="79"/>
      <c r="N19" s="79"/>
      <c r="O19" s="9"/>
      <c r="P19" s="9">
        <f>SUM(P16:P18)</f>
        <v>6000</v>
      </c>
      <c r="Q19" s="9">
        <f>SUM(Q16:Q18)</f>
        <v>4000</v>
      </c>
      <c r="R19" s="9">
        <f>SUM(R16:R18)</f>
        <v>2000</v>
      </c>
      <c r="S19" s="10">
        <f>IF(Q19=0,"NA",(+P19-Q19)/Q19)</f>
        <v>0.5</v>
      </c>
      <c r="U19" s="9">
        <f>SUM(U16:U18)</f>
        <v>6266.82</v>
      </c>
      <c r="V19" s="9">
        <f>SUM(V16:V18)</f>
        <v>3333.3</v>
      </c>
      <c r="W19" s="10">
        <f>IF(V19=0,"NA",(+U19-V19)/V19)</f>
        <v>0.8800648006480063</v>
      </c>
      <c r="X19" s="929"/>
      <c r="Y19" s="70"/>
      <c r="Z19" s="58"/>
    </row>
    <row r="20" spans="1:39" x14ac:dyDescent="0.35">
      <c r="A20" s="42">
        <v>17</v>
      </c>
      <c r="B20" s="9" t="s">
        <v>10</v>
      </c>
      <c r="C20" s="9"/>
      <c r="D20" s="9"/>
      <c r="E20" s="79"/>
      <c r="F20" s="79"/>
      <c r="G20" s="79"/>
      <c r="H20" s="79"/>
      <c r="I20" s="79"/>
      <c r="J20" s="79"/>
      <c r="K20" s="79"/>
      <c r="L20" s="79"/>
      <c r="M20" s="79"/>
      <c r="N20" s="79"/>
      <c r="O20" s="9"/>
      <c r="P20" s="9">
        <f>+P14+P19</f>
        <v>416000</v>
      </c>
      <c r="Q20" s="9">
        <f>+Q14+Q19</f>
        <v>458000</v>
      </c>
      <c r="R20" s="9">
        <f>+R14+R19</f>
        <v>-42000</v>
      </c>
      <c r="S20" s="10">
        <f>IF(Q20=0,"NA",(+P20-Q20)/Q20)</f>
        <v>-9.1703056768558958E-2</v>
      </c>
      <c r="U20" s="9">
        <f>+U14+U19</f>
        <v>382306.32</v>
      </c>
      <c r="V20" s="9">
        <f>+V14+V19</f>
        <v>379344.07</v>
      </c>
      <c r="W20" s="10">
        <f>IF(V20=0,"NA",(+U20-V20)/V20)</f>
        <v>7.8088738806435009E-3</v>
      </c>
      <c r="X20" s="929"/>
      <c r="Y20" s="70"/>
      <c r="Z20" s="58"/>
    </row>
    <row r="21" spans="1:39" s="859" customFormat="1" ht="27" customHeight="1" x14ac:dyDescent="0.55000000000000004">
      <c r="A21" s="858">
        <v>19</v>
      </c>
      <c r="B21" s="865" t="s">
        <v>11</v>
      </c>
      <c r="D21" s="860"/>
      <c r="E21" s="861"/>
      <c r="F21" s="862"/>
      <c r="G21" s="862"/>
      <c r="H21" s="862"/>
      <c r="I21" s="862"/>
      <c r="J21" s="862"/>
      <c r="K21" s="862"/>
      <c r="L21" s="862"/>
      <c r="M21" s="862"/>
      <c r="N21" s="862"/>
      <c r="S21" s="862"/>
      <c r="W21" s="862"/>
      <c r="X21" s="931"/>
      <c r="Y21" s="863"/>
      <c r="Z21" s="864"/>
    </row>
    <row r="22" spans="1:39" ht="23" customHeight="1" x14ac:dyDescent="0.35">
      <c r="B22" s="6" t="s">
        <v>88</v>
      </c>
      <c r="S22" s="38"/>
      <c r="W22" s="38"/>
      <c r="Y22" s="70"/>
      <c r="Z22" s="58"/>
    </row>
    <row r="23" spans="1:39" ht="14.5" customHeight="1" x14ac:dyDescent="0.35">
      <c r="B23" s="6"/>
      <c r="C23" s="225" t="s">
        <v>313</v>
      </c>
      <c r="D23" s="237"/>
      <c r="E23" s="238"/>
      <c r="F23" s="239"/>
      <c r="G23" s="239"/>
      <c r="H23" s="239"/>
      <c r="I23" s="239"/>
      <c r="J23" s="239"/>
      <c r="K23" s="239"/>
      <c r="L23" s="239"/>
      <c r="M23" s="239"/>
      <c r="N23" s="239"/>
      <c r="O23" s="225"/>
      <c r="P23" s="250">
        <v>18150</v>
      </c>
      <c r="Q23" s="250">
        <v>21000</v>
      </c>
      <c r="R23" s="223">
        <f t="shared" ref="R23:R31" si="3">+P23-Q23</f>
        <v>-2850</v>
      </c>
      <c r="S23" s="224">
        <f t="shared" ref="S23:S31" si="4">IF(Q23=0,"NA",(+P23-Q23)/Q23)</f>
        <v>-0.1357142857142857</v>
      </c>
      <c r="T23" s="225"/>
      <c r="U23" s="222">
        <v>17500</v>
      </c>
      <c r="V23" s="222">
        <v>17500</v>
      </c>
      <c r="W23" s="224">
        <f t="shared" ref="W23:W31" si="5">IF(V23=0,"NA",(+U23-V23)/V23)</f>
        <v>0</v>
      </c>
      <c r="X23" s="1017" t="s">
        <v>656</v>
      </c>
      <c r="Y23" s="226"/>
      <c r="Z23" s="58"/>
      <c r="AM23" s="25"/>
    </row>
    <row r="24" spans="1:39" ht="14.5" hidden="1" customHeight="1" x14ac:dyDescent="0.35">
      <c r="B24" s="6"/>
      <c r="C24" s="230" t="s">
        <v>451</v>
      </c>
      <c r="D24" s="240"/>
      <c r="E24" s="241"/>
      <c r="F24" s="242"/>
      <c r="G24" s="242"/>
      <c r="H24" s="242"/>
      <c r="I24" s="242"/>
      <c r="J24" s="242"/>
      <c r="K24" s="242"/>
      <c r="L24" s="242"/>
      <c r="M24" s="242"/>
      <c r="N24" s="242"/>
      <c r="O24" s="230"/>
      <c r="P24" s="248">
        <v>0</v>
      </c>
      <c r="Q24" s="248">
        <v>0</v>
      </c>
      <c r="R24" s="223">
        <f t="shared" si="3"/>
        <v>0</v>
      </c>
      <c r="S24" s="224" t="str">
        <f t="shared" si="4"/>
        <v>NA</v>
      </c>
      <c r="T24" s="225"/>
      <c r="U24" s="222">
        <v>0</v>
      </c>
      <c r="V24" s="222">
        <v>0</v>
      </c>
      <c r="W24" s="224" t="str">
        <f t="shared" si="5"/>
        <v>NA</v>
      </c>
      <c r="X24" s="930"/>
      <c r="Y24" s="226" t="s">
        <v>371</v>
      </c>
      <c r="Z24" s="58"/>
    </row>
    <row r="25" spans="1:39" ht="14.5" customHeight="1" x14ac:dyDescent="0.35">
      <c r="B25" s="6"/>
      <c r="C25" s="230" t="s">
        <v>450</v>
      </c>
      <c r="D25" s="240"/>
      <c r="E25" s="241"/>
      <c r="F25" s="242"/>
      <c r="G25" s="242"/>
      <c r="H25" s="242"/>
      <c r="I25" s="242"/>
      <c r="J25" s="242"/>
      <c r="K25" s="242"/>
      <c r="L25" s="242"/>
      <c r="M25" s="242"/>
      <c r="N25" s="242"/>
      <c r="O25" s="230"/>
      <c r="P25" s="248">
        <v>500</v>
      </c>
      <c r="Q25" s="248">
        <v>500</v>
      </c>
      <c r="R25" s="223">
        <f t="shared" si="3"/>
        <v>0</v>
      </c>
      <c r="S25" s="224">
        <f t="shared" si="4"/>
        <v>0</v>
      </c>
      <c r="T25" s="225"/>
      <c r="U25" s="222">
        <v>375</v>
      </c>
      <c r="V25" s="222">
        <v>375</v>
      </c>
      <c r="W25" s="224">
        <f t="shared" si="5"/>
        <v>0</v>
      </c>
      <c r="X25" s="930"/>
      <c r="Y25" s="226"/>
      <c r="Z25" s="58"/>
    </row>
    <row r="26" spans="1:39" ht="14.5" customHeight="1" x14ac:dyDescent="0.35">
      <c r="B26" s="6"/>
      <c r="C26" s="230" t="s">
        <v>322</v>
      </c>
      <c r="D26" s="240"/>
      <c r="E26" s="241"/>
      <c r="F26" s="242"/>
      <c r="G26" s="242"/>
      <c r="H26" s="242"/>
      <c r="I26" s="242"/>
      <c r="J26" s="242"/>
      <c r="K26" s="242"/>
      <c r="L26" s="242"/>
      <c r="M26" s="242"/>
      <c r="N26" s="242"/>
      <c r="O26" s="230"/>
      <c r="P26" s="248">
        <v>1500</v>
      </c>
      <c r="Q26" s="248">
        <v>1500</v>
      </c>
      <c r="R26" s="223">
        <f t="shared" si="3"/>
        <v>0</v>
      </c>
      <c r="S26" s="224">
        <f t="shared" si="4"/>
        <v>0</v>
      </c>
      <c r="T26" s="225"/>
      <c r="U26" s="222">
        <v>1125</v>
      </c>
      <c r="V26" s="222">
        <v>1125</v>
      </c>
      <c r="W26" s="224">
        <f t="shared" si="5"/>
        <v>0</v>
      </c>
      <c r="X26" s="930"/>
      <c r="Y26" s="226"/>
      <c r="Z26" s="58"/>
    </row>
    <row r="27" spans="1:39" ht="14.5" customHeight="1" x14ac:dyDescent="0.35">
      <c r="B27" s="6"/>
      <c r="C27" s="230" t="s">
        <v>739</v>
      </c>
      <c r="D27" s="240"/>
      <c r="E27" s="241"/>
      <c r="F27" s="242"/>
      <c r="G27" s="242"/>
      <c r="H27" s="242"/>
      <c r="I27" s="242"/>
      <c r="J27" s="242"/>
      <c r="K27" s="242"/>
      <c r="L27" s="242"/>
      <c r="M27" s="242"/>
      <c r="N27" s="242"/>
      <c r="O27" s="230"/>
      <c r="P27" s="248">
        <v>750</v>
      </c>
      <c r="Q27" s="248">
        <v>750</v>
      </c>
      <c r="R27" s="223">
        <f t="shared" si="3"/>
        <v>0</v>
      </c>
      <c r="S27" s="224">
        <f t="shared" si="4"/>
        <v>0</v>
      </c>
      <c r="T27" s="225"/>
      <c r="U27" s="222">
        <v>562.5</v>
      </c>
      <c r="V27" s="222">
        <v>562.5</v>
      </c>
      <c r="W27" s="224">
        <f t="shared" si="5"/>
        <v>0</v>
      </c>
      <c r="X27" s="930"/>
      <c r="Y27" s="226"/>
      <c r="Z27" s="58"/>
    </row>
    <row r="28" spans="1:39" ht="14.5" customHeight="1" x14ac:dyDescent="0.35">
      <c r="B28" s="6"/>
      <c r="C28" s="230" t="s">
        <v>738</v>
      </c>
      <c r="D28" s="240"/>
      <c r="E28" s="241"/>
      <c r="F28" s="242"/>
      <c r="G28" s="242"/>
      <c r="H28" s="242"/>
      <c r="I28" s="242"/>
      <c r="J28" s="242"/>
      <c r="K28" s="242"/>
      <c r="L28" s="242"/>
      <c r="M28" s="242"/>
      <c r="N28" s="242"/>
      <c r="O28" s="230"/>
      <c r="P28" s="248">
        <v>1000</v>
      </c>
      <c r="Q28" s="248">
        <v>1000</v>
      </c>
      <c r="R28" s="223">
        <f t="shared" si="3"/>
        <v>0</v>
      </c>
      <c r="S28" s="224">
        <f t="shared" si="4"/>
        <v>0</v>
      </c>
      <c r="T28" s="225"/>
      <c r="U28" s="222">
        <v>750</v>
      </c>
      <c r="V28" s="222">
        <v>750</v>
      </c>
      <c r="W28" s="224">
        <f t="shared" si="5"/>
        <v>0</v>
      </c>
      <c r="X28" s="930"/>
      <c r="Y28" s="226"/>
      <c r="Z28" s="58"/>
    </row>
    <row r="29" spans="1:39" ht="14.5" customHeight="1" x14ac:dyDescent="0.35">
      <c r="B29" s="6"/>
      <c r="C29" s="230" t="s">
        <v>318</v>
      </c>
      <c r="D29" s="240"/>
      <c r="E29" s="241"/>
      <c r="F29" s="242"/>
      <c r="G29" s="242"/>
      <c r="H29" s="242"/>
      <c r="I29" s="242"/>
      <c r="J29" s="242"/>
      <c r="K29" s="242"/>
      <c r="L29" s="242"/>
      <c r="M29" s="242"/>
      <c r="N29" s="242"/>
      <c r="O29" s="230"/>
      <c r="P29" s="248">
        <v>1000</v>
      </c>
      <c r="Q29" s="248">
        <v>1000</v>
      </c>
      <c r="R29" s="223">
        <f t="shared" si="3"/>
        <v>0</v>
      </c>
      <c r="S29" s="224">
        <f t="shared" si="4"/>
        <v>0</v>
      </c>
      <c r="T29" s="225"/>
      <c r="U29" s="222">
        <v>750</v>
      </c>
      <c r="V29" s="222">
        <v>750</v>
      </c>
      <c r="W29" s="224">
        <f t="shared" si="5"/>
        <v>0</v>
      </c>
      <c r="X29" s="930"/>
      <c r="Y29" s="226"/>
      <c r="Z29" s="58"/>
    </row>
    <row r="30" spans="1:39" ht="14.5" customHeight="1" x14ac:dyDescent="0.35">
      <c r="B30" s="6"/>
      <c r="C30" s="230" t="s">
        <v>449</v>
      </c>
      <c r="D30" s="240"/>
      <c r="E30" s="241"/>
      <c r="F30" s="242"/>
      <c r="G30" s="242"/>
      <c r="H30" s="242"/>
      <c r="I30" s="242"/>
      <c r="J30" s="242"/>
      <c r="K30" s="242"/>
      <c r="L30" s="242"/>
      <c r="M30" s="242"/>
      <c r="N30" s="242"/>
      <c r="O30" s="230"/>
      <c r="P30" s="248">
        <v>1000</v>
      </c>
      <c r="Q30" s="248">
        <v>1000</v>
      </c>
      <c r="R30" s="223">
        <f t="shared" si="3"/>
        <v>0</v>
      </c>
      <c r="S30" s="224">
        <f t="shared" si="4"/>
        <v>0</v>
      </c>
      <c r="T30" s="225"/>
      <c r="U30" s="222">
        <v>750</v>
      </c>
      <c r="V30" s="222">
        <v>750</v>
      </c>
      <c r="W30" s="224">
        <f t="shared" si="5"/>
        <v>0</v>
      </c>
      <c r="X30" s="930"/>
      <c r="Y30" s="226"/>
      <c r="Z30" s="58"/>
    </row>
    <row r="31" spans="1:39" ht="14.5" customHeight="1" x14ac:dyDescent="0.35">
      <c r="B31" s="6"/>
      <c r="C31" s="230" t="s">
        <v>320</v>
      </c>
      <c r="D31" s="240"/>
      <c r="E31" s="241"/>
      <c r="F31" s="242"/>
      <c r="G31" s="242"/>
      <c r="H31" s="242"/>
      <c r="I31" s="242"/>
      <c r="J31" s="242"/>
      <c r="K31" s="242"/>
      <c r="L31" s="242"/>
      <c r="M31" s="242"/>
      <c r="N31" s="242"/>
      <c r="O31" s="230"/>
      <c r="P31" s="248">
        <v>1000</v>
      </c>
      <c r="Q31" s="248">
        <v>1000</v>
      </c>
      <c r="R31" s="223">
        <f t="shared" si="3"/>
        <v>0</v>
      </c>
      <c r="S31" s="224">
        <f t="shared" si="4"/>
        <v>0</v>
      </c>
      <c r="T31" s="225"/>
      <c r="U31" s="222">
        <v>750</v>
      </c>
      <c r="V31" s="222">
        <v>750</v>
      </c>
      <c r="W31" s="224">
        <f t="shared" si="5"/>
        <v>0</v>
      </c>
      <c r="X31" s="930"/>
      <c r="Y31" s="226"/>
      <c r="Z31" s="58"/>
    </row>
    <row r="32" spans="1:39" s="2" customFormat="1" ht="29" x14ac:dyDescent="0.35">
      <c r="A32" s="42">
        <v>26</v>
      </c>
      <c r="B32" s="534">
        <v>0.08</v>
      </c>
      <c r="C32" s="1183" t="str">
        <f>ROUND((P32/P20),3)*100&amp;"% Benevolence Budget  "&amp;ROUND((U32/U20),3)*100&amp;"% Actual YTD"</f>
        <v>6% Benevolence Budget  5.9% Actual YTD</v>
      </c>
      <c r="D32" s="1183"/>
      <c r="E32" s="80"/>
      <c r="F32" s="81"/>
      <c r="G32" s="81"/>
      <c r="H32" s="81"/>
      <c r="I32" s="81"/>
      <c r="J32" s="81"/>
      <c r="K32" s="81"/>
      <c r="L32" s="81"/>
      <c r="M32" s="81"/>
      <c r="N32" s="81"/>
      <c r="O32" s="11"/>
      <c r="P32" s="11">
        <f>SUM(P23:P31)</f>
        <v>24900</v>
      </c>
      <c r="Q32" s="11">
        <f>SUM(Q23:Q31)</f>
        <v>27750</v>
      </c>
      <c r="R32" s="11">
        <f>+P32-Q32</f>
        <v>-2850</v>
      </c>
      <c r="S32" s="13">
        <f>IF(Q32=0,"NA",(+P32-Q32)/Q32)</f>
        <v>-0.10270270270270271</v>
      </c>
      <c r="T32" s="1"/>
      <c r="U32" s="553">
        <f>SUM(U23:U31)</f>
        <v>22562.5</v>
      </c>
      <c r="V32" s="553">
        <f>SUM(V23:V31)</f>
        <v>22562.5</v>
      </c>
      <c r="W32" s="13">
        <f>IF(V32=0,"NA",(+U32-V32)/V32)</f>
        <v>0</v>
      </c>
      <c r="X32" s="932"/>
      <c r="Y32" s="63" t="s">
        <v>542</v>
      </c>
      <c r="Z32" s="59"/>
      <c r="AA32" s="2" t="s">
        <v>355</v>
      </c>
      <c r="AG32" s="1">
        <f>+$P32</f>
        <v>24900</v>
      </c>
      <c r="AH32" s="1"/>
      <c r="AK32" s="1">
        <f>+$U32</f>
        <v>22562.5</v>
      </c>
      <c r="AL32" s="1"/>
    </row>
    <row r="33" spans="1:36" s="2" customFormat="1" ht="23" customHeight="1" x14ac:dyDescent="0.35">
      <c r="A33" s="42">
        <v>28</v>
      </c>
      <c r="B33" s="18" t="s">
        <v>58</v>
      </c>
      <c r="C33" s="15"/>
      <c r="D33" s="14"/>
      <c r="E33" s="77"/>
      <c r="F33" s="77"/>
      <c r="G33" s="77"/>
      <c r="H33" s="77"/>
      <c r="I33" s="77"/>
      <c r="J33" s="77"/>
      <c r="K33" s="77"/>
      <c r="L33" s="77"/>
      <c r="M33" s="77"/>
      <c r="N33" s="77"/>
      <c r="O33" s="14"/>
      <c r="P33" s="552"/>
      <c r="Q33" s="840"/>
      <c r="R33" s="14"/>
      <c r="S33" s="17"/>
      <c r="T33" s="1"/>
      <c r="U33" s="14"/>
      <c r="V33" s="14"/>
      <c r="W33" s="17"/>
      <c r="X33" s="933"/>
      <c r="Y33" s="71"/>
      <c r="Z33" s="60"/>
    </row>
    <row r="34" spans="1:36" s="852" customFormat="1" ht="19.5" customHeight="1" x14ac:dyDescent="0.35">
      <c r="A34" s="851">
        <v>29</v>
      </c>
      <c r="B34" s="868" t="s">
        <v>12</v>
      </c>
      <c r="D34" s="853"/>
      <c r="E34" s="854"/>
      <c r="F34" s="855"/>
      <c r="G34" s="855"/>
      <c r="H34" s="855"/>
      <c r="I34" s="855"/>
      <c r="J34" s="855"/>
      <c r="K34" s="855"/>
      <c r="L34" s="855"/>
      <c r="M34" s="855"/>
      <c r="N34" s="855"/>
      <c r="S34" s="855"/>
      <c r="W34" s="855"/>
      <c r="X34" s="926"/>
      <c r="Y34" s="856"/>
      <c r="Z34" s="857"/>
    </row>
    <row r="35" spans="1:36" ht="19.5" customHeight="1" x14ac:dyDescent="0.35">
      <c r="A35" s="42">
        <v>30</v>
      </c>
      <c r="C35" s="389" t="s">
        <v>80</v>
      </c>
      <c r="D35" s="390"/>
      <c r="E35" s="391"/>
      <c r="F35" s="392"/>
      <c r="G35" s="392"/>
      <c r="H35" s="392"/>
      <c r="I35" s="392"/>
      <c r="J35" s="392"/>
      <c r="K35" s="392"/>
      <c r="L35" s="392"/>
      <c r="M35" s="392"/>
      <c r="N35" s="392"/>
      <c r="O35" s="389"/>
      <c r="P35" s="393">
        <v>1250</v>
      </c>
      <c r="Q35" s="393">
        <v>1500</v>
      </c>
      <c r="R35" s="394">
        <f t="shared" ref="R35:R43" si="6">+P35-Q35</f>
        <v>-250</v>
      </c>
      <c r="S35" s="395">
        <f t="shared" ref="S35:S44" si="7">IF(Q35=0,"NA",(+P35-Q35)/Q35)</f>
        <v>-0.16666666666666666</v>
      </c>
      <c r="T35" s="389"/>
      <c r="U35" s="393">
        <v>792.62</v>
      </c>
      <c r="V35" s="393">
        <v>1144.04</v>
      </c>
      <c r="W35" s="395">
        <f t="shared" ref="W35:W44" si="8">IF(V35=0,"NA",(+U35-V35)/V35)</f>
        <v>-0.30717457431558337</v>
      </c>
      <c r="X35" s="927" t="s">
        <v>707</v>
      </c>
      <c r="Y35" s="780" t="s">
        <v>452</v>
      </c>
      <c r="Z35" s="57" t="s">
        <v>119</v>
      </c>
      <c r="AF35" s="1">
        <f>+$P35</f>
        <v>1250</v>
      </c>
      <c r="AJ35" s="1">
        <f>+$U35</f>
        <v>792.62</v>
      </c>
    </row>
    <row r="36" spans="1:36" ht="29" hidden="1" x14ac:dyDescent="0.35">
      <c r="C36" s="225"/>
      <c r="D36" s="237"/>
      <c r="E36" s="238"/>
      <c r="F36" s="239"/>
      <c r="G36" s="239"/>
      <c r="H36" s="239"/>
      <c r="I36" s="239"/>
      <c r="J36" s="239"/>
      <c r="K36" s="239"/>
      <c r="L36" s="239"/>
      <c r="M36" s="239"/>
      <c r="N36" s="239"/>
      <c r="O36" s="225"/>
      <c r="P36" s="222"/>
      <c r="Q36" s="222"/>
      <c r="R36" s="223"/>
      <c r="S36" s="224"/>
      <c r="T36" s="225"/>
      <c r="U36" s="222"/>
      <c r="V36" s="222"/>
      <c r="W36" s="224"/>
      <c r="X36" s="1016" t="s">
        <v>659</v>
      </c>
      <c r="Y36" s="396" t="s">
        <v>276</v>
      </c>
      <c r="Z36" s="57"/>
    </row>
    <row r="37" spans="1:36" ht="14" customHeight="1" x14ac:dyDescent="0.35">
      <c r="A37" s="42">
        <v>31</v>
      </c>
      <c r="C37" s="235" t="s">
        <v>13</v>
      </c>
      <c r="D37" s="243"/>
      <c r="E37" s="244"/>
      <c r="F37" s="245"/>
      <c r="G37" s="245"/>
      <c r="H37" s="245"/>
      <c r="I37" s="245"/>
      <c r="J37" s="245"/>
      <c r="K37" s="245"/>
      <c r="L37" s="245"/>
      <c r="M37" s="245"/>
      <c r="N37" s="245"/>
      <c r="O37" s="235"/>
      <c r="P37" s="232">
        <v>750</v>
      </c>
      <c r="Q37" s="232">
        <v>1000</v>
      </c>
      <c r="R37" s="233">
        <f t="shared" si="6"/>
        <v>-250</v>
      </c>
      <c r="S37" s="234">
        <f t="shared" si="7"/>
        <v>-0.25</v>
      </c>
      <c r="T37" s="235"/>
      <c r="U37" s="232">
        <v>389.8</v>
      </c>
      <c r="V37" s="232">
        <v>1000</v>
      </c>
      <c r="W37" s="234">
        <f t="shared" si="8"/>
        <v>-0.61020000000000008</v>
      </c>
      <c r="X37" s="1014" t="s">
        <v>658</v>
      </c>
      <c r="Y37" s="630" t="s">
        <v>553</v>
      </c>
      <c r="Z37" s="61" t="s">
        <v>120</v>
      </c>
      <c r="AF37" s="1">
        <f t="shared" ref="AF37:AF43" si="9">+$P37</f>
        <v>750</v>
      </c>
      <c r="AJ37" s="1">
        <f t="shared" ref="AJ37:AJ43" si="10">+$U37</f>
        <v>389.8</v>
      </c>
    </row>
    <row r="38" spans="1:36" ht="43.5" hidden="1" x14ac:dyDescent="0.35">
      <c r="C38" s="225"/>
      <c r="D38" s="237"/>
      <c r="E38" s="238"/>
      <c r="F38" s="239"/>
      <c r="G38" s="239"/>
      <c r="H38" s="239"/>
      <c r="I38" s="239"/>
      <c r="J38" s="239"/>
      <c r="K38" s="239"/>
      <c r="L38" s="239"/>
      <c r="M38" s="239"/>
      <c r="N38" s="239"/>
      <c r="O38" s="225"/>
      <c r="P38" s="222"/>
      <c r="Q38" s="222"/>
      <c r="R38" s="223"/>
      <c r="S38" s="224"/>
      <c r="T38" s="225"/>
      <c r="U38" s="222"/>
      <c r="V38" s="222"/>
      <c r="W38" s="224"/>
      <c r="X38" s="927"/>
      <c r="Y38" s="396" t="s">
        <v>495</v>
      </c>
      <c r="Z38" s="61"/>
    </row>
    <row r="39" spans="1:36" ht="17" customHeight="1" x14ac:dyDescent="0.35">
      <c r="A39" s="42">
        <v>32</v>
      </c>
      <c r="C39" s="235" t="s">
        <v>283</v>
      </c>
      <c r="D39" s="243"/>
      <c r="E39" s="244"/>
      <c r="F39" s="245"/>
      <c r="G39" s="245"/>
      <c r="H39" s="245"/>
      <c r="I39" s="245"/>
      <c r="J39" s="245"/>
      <c r="K39" s="245"/>
      <c r="L39" s="245"/>
      <c r="M39" s="245"/>
      <c r="N39" s="245"/>
      <c r="O39" s="235"/>
      <c r="P39" s="232">
        <v>250</v>
      </c>
      <c r="Q39" s="232">
        <v>250</v>
      </c>
      <c r="R39" s="233">
        <f t="shared" si="6"/>
        <v>0</v>
      </c>
      <c r="S39" s="234">
        <f t="shared" si="7"/>
        <v>0</v>
      </c>
      <c r="T39" s="235"/>
      <c r="U39" s="232">
        <v>227.36</v>
      </c>
      <c r="V39" s="232">
        <v>250</v>
      </c>
      <c r="W39" s="234">
        <f t="shared" si="8"/>
        <v>-9.0559999999999946E-2</v>
      </c>
      <c r="X39" s="923"/>
      <c r="Y39" s="236" t="s">
        <v>554</v>
      </c>
      <c r="Z39" s="61" t="s">
        <v>121</v>
      </c>
      <c r="AF39" s="1">
        <f t="shared" si="9"/>
        <v>250</v>
      </c>
      <c r="AJ39" s="1">
        <f t="shared" si="10"/>
        <v>227.36</v>
      </c>
    </row>
    <row r="40" spans="1:36" ht="14" customHeight="1" x14ac:dyDescent="0.35">
      <c r="A40" s="42">
        <v>33</v>
      </c>
      <c r="C40" s="235" t="s">
        <v>14</v>
      </c>
      <c r="D40" s="243"/>
      <c r="E40" s="244"/>
      <c r="F40" s="245"/>
      <c r="G40" s="245"/>
      <c r="H40" s="245"/>
      <c r="I40" s="245"/>
      <c r="J40" s="245"/>
      <c r="K40" s="245"/>
      <c r="L40" s="245"/>
      <c r="M40" s="245"/>
      <c r="N40" s="245"/>
      <c r="O40" s="235"/>
      <c r="P40" s="232">
        <v>300</v>
      </c>
      <c r="Q40" s="232">
        <v>300</v>
      </c>
      <c r="R40" s="233">
        <f t="shared" si="6"/>
        <v>0</v>
      </c>
      <c r="S40" s="234">
        <f t="shared" si="7"/>
        <v>0</v>
      </c>
      <c r="T40" s="235"/>
      <c r="U40" s="232">
        <v>0</v>
      </c>
      <c r="V40" s="232">
        <v>0</v>
      </c>
      <c r="W40" s="234" t="str">
        <f t="shared" si="8"/>
        <v>NA</v>
      </c>
      <c r="X40" s="1014" t="s">
        <v>644</v>
      </c>
      <c r="Y40" s="236" t="s">
        <v>555</v>
      </c>
      <c r="Z40" s="57" t="s">
        <v>122</v>
      </c>
      <c r="AF40" s="1">
        <f t="shared" si="9"/>
        <v>300</v>
      </c>
      <c r="AJ40" s="1">
        <f t="shared" si="10"/>
        <v>0</v>
      </c>
    </row>
    <row r="41" spans="1:36" ht="14.5" customHeight="1" x14ac:dyDescent="0.35">
      <c r="A41" s="42">
        <v>34</v>
      </c>
      <c r="C41" s="235" t="s">
        <v>275</v>
      </c>
      <c r="D41" s="243"/>
      <c r="E41" s="244"/>
      <c r="F41" s="245"/>
      <c r="G41" s="245"/>
      <c r="H41" s="245"/>
      <c r="I41" s="245"/>
      <c r="J41" s="245"/>
      <c r="K41" s="245"/>
      <c r="L41" s="245"/>
      <c r="M41" s="245"/>
      <c r="N41" s="245"/>
      <c r="O41" s="235"/>
      <c r="P41" s="232">
        <v>200</v>
      </c>
      <c r="Q41" s="232">
        <v>200</v>
      </c>
      <c r="R41" s="233">
        <f t="shared" si="6"/>
        <v>0</v>
      </c>
      <c r="S41" s="234">
        <f t="shared" si="7"/>
        <v>0</v>
      </c>
      <c r="T41" s="235"/>
      <c r="U41" s="232">
        <v>109.27</v>
      </c>
      <c r="V41" s="232">
        <v>200</v>
      </c>
      <c r="W41" s="234">
        <f t="shared" si="8"/>
        <v>-0.45365</v>
      </c>
      <c r="X41" s="923"/>
      <c r="Y41" s="871" t="s">
        <v>556</v>
      </c>
      <c r="Z41" s="61" t="s">
        <v>123</v>
      </c>
      <c r="AF41" s="1">
        <f t="shared" si="9"/>
        <v>200</v>
      </c>
      <c r="AJ41" s="1">
        <f t="shared" si="10"/>
        <v>109.27</v>
      </c>
    </row>
    <row r="42" spans="1:36" ht="16" customHeight="1" x14ac:dyDescent="0.35">
      <c r="C42" s="235" t="s">
        <v>104</v>
      </c>
      <c r="D42" s="243"/>
      <c r="E42" s="244"/>
      <c r="F42" s="245"/>
      <c r="G42" s="245"/>
      <c r="H42" s="245"/>
      <c r="I42" s="245"/>
      <c r="J42" s="245"/>
      <c r="K42" s="245"/>
      <c r="L42" s="245"/>
      <c r="M42" s="245"/>
      <c r="N42" s="245"/>
      <c r="O42" s="235"/>
      <c r="P42" s="232">
        <v>400</v>
      </c>
      <c r="Q42" s="232">
        <v>550</v>
      </c>
      <c r="R42" s="233">
        <f t="shared" si="6"/>
        <v>-150</v>
      </c>
      <c r="S42" s="234">
        <f>IF(Q42=0,"NA",(+P42-Q42)/Q42)</f>
        <v>-0.27272727272727271</v>
      </c>
      <c r="T42" s="235"/>
      <c r="U42" s="232">
        <v>26.99</v>
      </c>
      <c r="V42" s="232">
        <v>458.3</v>
      </c>
      <c r="W42" s="234">
        <f>IF(V42=0,"NA",(+U42-V42)/V42)</f>
        <v>-0.94110844425049089</v>
      </c>
      <c r="X42" s="923"/>
      <c r="Y42" s="867" t="s">
        <v>550</v>
      </c>
      <c r="Z42" s="61" t="s">
        <v>124</v>
      </c>
      <c r="AF42" s="1">
        <f t="shared" si="9"/>
        <v>400</v>
      </c>
      <c r="AJ42" s="1">
        <f t="shared" si="10"/>
        <v>26.99</v>
      </c>
    </row>
    <row r="43" spans="1:36" ht="14.5" customHeight="1" x14ac:dyDescent="0.35">
      <c r="A43" s="42">
        <v>35</v>
      </c>
      <c r="C43" s="235" t="s">
        <v>84</v>
      </c>
      <c r="D43" s="243"/>
      <c r="E43" s="244"/>
      <c r="F43" s="245"/>
      <c r="G43" s="245"/>
      <c r="H43" s="245"/>
      <c r="I43" s="245"/>
      <c r="J43" s="245"/>
      <c r="K43" s="245"/>
      <c r="L43" s="245"/>
      <c r="M43" s="245"/>
      <c r="N43" s="245"/>
      <c r="O43" s="235"/>
      <c r="P43" s="232">
        <v>0</v>
      </c>
      <c r="Q43" s="232">
        <v>250</v>
      </c>
      <c r="R43" s="233">
        <f t="shared" si="6"/>
        <v>-250</v>
      </c>
      <c r="S43" s="234">
        <f t="shared" si="7"/>
        <v>-1</v>
      </c>
      <c r="T43" s="235"/>
      <c r="U43" s="232">
        <v>0</v>
      </c>
      <c r="V43" s="232">
        <v>208.3</v>
      </c>
      <c r="W43" s="234">
        <f t="shared" si="8"/>
        <v>-1</v>
      </c>
      <c r="X43" s="1014" t="s">
        <v>645</v>
      </c>
      <c r="Y43" s="236" t="s">
        <v>557</v>
      </c>
      <c r="Z43" s="61" t="s">
        <v>125</v>
      </c>
      <c r="AF43" s="1">
        <f t="shared" si="9"/>
        <v>0</v>
      </c>
      <c r="AJ43" s="1">
        <f t="shared" si="10"/>
        <v>0</v>
      </c>
    </row>
    <row r="44" spans="1:36" s="2" customFormat="1" x14ac:dyDescent="0.35">
      <c r="A44" s="42">
        <v>36</v>
      </c>
      <c r="B44" s="19" t="s">
        <v>16</v>
      </c>
      <c r="C44" s="19"/>
      <c r="D44" s="36"/>
      <c r="E44" s="82"/>
      <c r="F44" s="82"/>
      <c r="G44" s="82"/>
      <c r="H44" s="82"/>
      <c r="I44" s="82"/>
      <c r="J44" s="82"/>
      <c r="K44" s="82"/>
      <c r="L44" s="82"/>
      <c r="M44" s="82"/>
      <c r="N44" s="82"/>
      <c r="O44" s="36"/>
      <c r="P44" s="19">
        <f>SUM(P35:P43)</f>
        <v>3150</v>
      </c>
      <c r="Q44" s="36">
        <f>SUM(Q35:Q43)</f>
        <v>4050</v>
      </c>
      <c r="R44" s="36">
        <f>SUM(R35:R43)</f>
        <v>-900</v>
      </c>
      <c r="S44" s="20">
        <f t="shared" si="7"/>
        <v>-0.22222222222222221</v>
      </c>
      <c r="U44" s="36">
        <f>SUM(U35:U43)</f>
        <v>1546.0400000000002</v>
      </c>
      <c r="V44" s="36">
        <f>SUM(V35:V43)</f>
        <v>3260.6400000000003</v>
      </c>
      <c r="W44" s="20">
        <f t="shared" si="8"/>
        <v>-0.5258476863437852</v>
      </c>
      <c r="X44" s="934"/>
      <c r="Y44" s="232"/>
      <c r="Z44" s="60"/>
    </row>
    <row r="45" spans="1:36" ht="19.5" customHeight="1" x14ac:dyDescent="0.35">
      <c r="A45" s="42">
        <v>40</v>
      </c>
      <c r="B45" s="868" t="s">
        <v>145</v>
      </c>
      <c r="S45" s="4"/>
      <c r="Y45" s="70"/>
      <c r="Z45" s="58"/>
    </row>
    <row r="46" spans="1:36" ht="14" customHeight="1" x14ac:dyDescent="0.35">
      <c r="A46" s="42">
        <v>41</v>
      </c>
      <c r="C46" s="389" t="s">
        <v>17</v>
      </c>
      <c r="D46" s="390"/>
      <c r="E46" s="391"/>
      <c r="F46" s="392"/>
      <c r="G46" s="392"/>
      <c r="H46" s="392"/>
      <c r="I46" s="392"/>
      <c r="J46" s="392"/>
      <c r="K46" s="392"/>
      <c r="L46" s="392"/>
      <c r="M46" s="392"/>
      <c r="N46" s="392"/>
      <c r="O46" s="389"/>
      <c r="P46" s="397">
        <v>3000</v>
      </c>
      <c r="Q46" s="397">
        <v>3500</v>
      </c>
      <c r="R46" s="394">
        <f>+P46-Q46</f>
        <v>-500</v>
      </c>
      <c r="S46" s="395">
        <f>IF(Q46=0,"NA",(+P46-Q46)/Q46)</f>
        <v>-0.14285714285714285</v>
      </c>
      <c r="T46" s="389"/>
      <c r="U46" s="393">
        <v>2096.77</v>
      </c>
      <c r="V46" s="393">
        <v>2916.7</v>
      </c>
      <c r="W46" s="395">
        <f>IF(V46=0,"NA",(+U46-V46)/V46)</f>
        <v>-0.28111564439263548</v>
      </c>
      <c r="X46" s="1016" t="s">
        <v>690</v>
      </c>
      <c r="Y46" s="533"/>
      <c r="Z46" s="61" t="s">
        <v>138</v>
      </c>
      <c r="AE46" s="1">
        <f>+$P46</f>
        <v>3000</v>
      </c>
      <c r="AI46" s="1">
        <f>+$U46</f>
        <v>2096.77</v>
      </c>
    </row>
    <row r="47" spans="1:36" x14ac:dyDescent="0.35">
      <c r="A47" s="42">
        <v>43</v>
      </c>
      <c r="C47" s="230" t="s">
        <v>18</v>
      </c>
      <c r="D47" s="240"/>
      <c r="E47" s="241"/>
      <c r="F47" s="242"/>
      <c r="G47" s="242"/>
      <c r="H47" s="242"/>
      <c r="I47" s="242"/>
      <c r="J47" s="242"/>
      <c r="K47" s="242"/>
      <c r="L47" s="242"/>
      <c r="M47" s="242"/>
      <c r="N47" s="242"/>
      <c r="O47" s="230"/>
      <c r="P47" s="227">
        <v>0</v>
      </c>
      <c r="Q47" s="227">
        <v>100</v>
      </c>
      <c r="R47" s="228">
        <f>+P47-Q47</f>
        <v>-100</v>
      </c>
      <c r="S47" s="229">
        <f>IF(Q47=0,"NA",(+P47-Q47)/Q47)</f>
        <v>-1</v>
      </c>
      <c r="T47" s="230"/>
      <c r="U47" s="227">
        <v>53.27</v>
      </c>
      <c r="V47" s="227">
        <v>83.3</v>
      </c>
      <c r="W47" s="229">
        <f>IF(V47=0,"NA",(+U47-V47)/V47)</f>
        <v>-0.36050420168067221</v>
      </c>
      <c r="X47" s="1015" t="s">
        <v>646</v>
      </c>
      <c r="Y47" s="631"/>
      <c r="Z47" s="57" t="s">
        <v>137</v>
      </c>
      <c r="AE47" s="1">
        <f>+$P47</f>
        <v>0</v>
      </c>
      <c r="AI47" s="1">
        <f>+$U47</f>
        <v>53.27</v>
      </c>
    </row>
    <row r="48" spans="1:36" x14ac:dyDescent="0.35">
      <c r="A48" s="42">
        <v>44</v>
      </c>
      <c r="C48" s="230" t="s">
        <v>19</v>
      </c>
      <c r="D48" s="240"/>
      <c r="E48" s="241"/>
      <c r="F48" s="242"/>
      <c r="G48" s="242"/>
      <c r="H48" s="242"/>
      <c r="I48" s="242"/>
      <c r="J48" s="242"/>
      <c r="K48" s="242"/>
      <c r="L48" s="242"/>
      <c r="M48" s="242"/>
      <c r="N48" s="242"/>
      <c r="O48" s="230"/>
      <c r="P48" s="227">
        <v>200</v>
      </c>
      <c r="Q48" s="227">
        <v>200</v>
      </c>
      <c r="R48" s="228">
        <f>+P48-Q48</f>
        <v>0</v>
      </c>
      <c r="S48" s="229">
        <f>IF(Q48=0,"NA",(+P48-Q48)/Q48)</f>
        <v>0</v>
      </c>
      <c r="T48" s="230"/>
      <c r="U48" s="227">
        <v>-305</v>
      </c>
      <c r="V48" s="227">
        <v>166.7</v>
      </c>
      <c r="W48" s="229">
        <f>IF(V48=0,"NA",(+U48-V48)/V48)</f>
        <v>-2.8296340731853631</v>
      </c>
      <c r="X48" s="928"/>
      <c r="Y48" s="631"/>
      <c r="Z48" s="58"/>
      <c r="AE48" s="1">
        <f>+$P48</f>
        <v>200</v>
      </c>
      <c r="AI48" s="1">
        <f>+$U48</f>
        <v>-305</v>
      </c>
    </row>
    <row r="49" spans="1:37" s="2" customFormat="1" x14ac:dyDescent="0.35">
      <c r="A49" s="42">
        <v>45</v>
      </c>
      <c r="B49" s="19" t="s">
        <v>146</v>
      </c>
      <c r="C49" s="19"/>
      <c r="D49" s="36"/>
      <c r="E49" s="82"/>
      <c r="F49" s="82"/>
      <c r="G49" s="82"/>
      <c r="H49" s="82"/>
      <c r="I49" s="82"/>
      <c r="J49" s="82"/>
      <c r="K49" s="82"/>
      <c r="L49" s="82"/>
      <c r="M49" s="82"/>
      <c r="N49" s="82"/>
      <c r="O49" s="36"/>
      <c r="P49" s="19">
        <f>SUM(P46:P48)</f>
        <v>3200</v>
      </c>
      <c r="Q49" s="36">
        <f>SUM(Q46:Q48)</f>
        <v>3800</v>
      </c>
      <c r="R49" s="36">
        <f>SUM(R46:R48)</f>
        <v>-600</v>
      </c>
      <c r="S49" s="20">
        <f>IF(Q49=0,"NA",(+P49-Q49)/Q49)</f>
        <v>-0.15789473684210525</v>
      </c>
      <c r="U49" s="36">
        <f>SUM(U46:U48)</f>
        <v>1845.04</v>
      </c>
      <c r="V49" s="36">
        <f>SUM(V46:V48)</f>
        <v>3166.7</v>
      </c>
      <c r="W49" s="20">
        <f>IF(V49=0,"NA",(+U49-V49)/V49)</f>
        <v>-0.41736192250607884</v>
      </c>
      <c r="X49" s="934"/>
      <c r="Y49" s="70"/>
      <c r="Z49" s="58"/>
    </row>
    <row r="50" spans="1:37" ht="6.75" customHeight="1" x14ac:dyDescent="0.35">
      <c r="A50" s="42">
        <v>46</v>
      </c>
      <c r="D50" s="1"/>
      <c r="E50" s="38"/>
      <c r="S50" s="4"/>
      <c r="Y50" s="70"/>
      <c r="Z50" s="58"/>
    </row>
    <row r="51" spans="1:37" s="2" customFormat="1" ht="29" x14ac:dyDescent="0.35">
      <c r="A51" s="42">
        <v>51</v>
      </c>
      <c r="B51" s="19" t="s">
        <v>20</v>
      </c>
      <c r="C51" s="19"/>
      <c r="D51" s="36"/>
      <c r="E51" s="82"/>
      <c r="F51" s="82"/>
      <c r="G51" s="82"/>
      <c r="H51" s="82"/>
      <c r="I51" s="82"/>
      <c r="J51" s="82"/>
      <c r="K51" s="82"/>
      <c r="L51" s="82"/>
      <c r="M51" s="82"/>
      <c r="N51" s="82"/>
      <c r="O51" s="36"/>
      <c r="P51" s="47">
        <v>3000</v>
      </c>
      <c r="Q51" s="47">
        <v>8000</v>
      </c>
      <c r="R51" s="44">
        <f>+P51-Q51</f>
        <v>-5000</v>
      </c>
      <c r="S51" s="20">
        <f>IF(Q51=0,"NA",(+P51-Q51)/Q51)</f>
        <v>-0.625</v>
      </c>
      <c r="U51" s="47">
        <v>782.56</v>
      </c>
      <c r="V51" s="47">
        <v>6666.7</v>
      </c>
      <c r="W51" s="20">
        <f>IF(V51=0,"NA",(+U51-V51)/V51)</f>
        <v>-0.88261658691706535</v>
      </c>
      <c r="X51" s="1025" t="s">
        <v>660</v>
      </c>
      <c r="Y51" s="533" t="s">
        <v>496</v>
      </c>
      <c r="Z51" s="57"/>
      <c r="AF51" s="1">
        <f>+$P51</f>
        <v>3000</v>
      </c>
      <c r="AJ51" s="1">
        <f>+$U51</f>
        <v>782.56</v>
      </c>
    </row>
    <row r="52" spans="1:37" ht="19.5" customHeight="1" x14ac:dyDescent="0.35">
      <c r="A52" s="42">
        <v>53</v>
      </c>
      <c r="B52" s="868" t="s">
        <v>90</v>
      </c>
      <c r="S52" s="4"/>
      <c r="Y52" s="70"/>
      <c r="Z52" s="58"/>
    </row>
    <row r="53" spans="1:37" x14ac:dyDescent="0.35">
      <c r="A53" s="42">
        <v>54</v>
      </c>
      <c r="C53" s="389" t="s">
        <v>92</v>
      </c>
      <c r="D53" s="390"/>
      <c r="E53" s="391"/>
      <c r="F53" s="392"/>
      <c r="G53" s="392"/>
      <c r="H53" s="392"/>
      <c r="I53" s="392"/>
      <c r="J53" s="392"/>
      <c r="K53" s="392"/>
      <c r="L53" s="392"/>
      <c r="M53" s="392"/>
      <c r="N53" s="392"/>
      <c r="O53" s="389"/>
      <c r="P53" s="393">
        <v>400</v>
      </c>
      <c r="Q53" s="393">
        <v>400</v>
      </c>
      <c r="R53" s="394">
        <f>+P53-Q53</f>
        <v>0</v>
      </c>
      <c r="S53" s="395">
        <f>IF(Q53=0,"NA",(+P53-Q53)/Q53)</f>
        <v>0</v>
      </c>
      <c r="T53" s="389"/>
      <c r="U53" s="393">
        <v>402.26</v>
      </c>
      <c r="V53" s="393">
        <v>333.3</v>
      </c>
      <c r="W53" s="395">
        <f>IF(V53=0,"NA",(+U53-V53)/V53)</f>
        <v>0.20690069006900683</v>
      </c>
      <c r="X53" s="1017" t="s">
        <v>689</v>
      </c>
      <c r="Y53" s="780" t="s">
        <v>552</v>
      </c>
      <c r="Z53" s="57"/>
      <c r="AE53" s="1">
        <f>+$P53</f>
        <v>400</v>
      </c>
      <c r="AI53" s="1">
        <f>+$U53</f>
        <v>402.26</v>
      </c>
    </row>
    <row r="54" spans="1:37" hidden="1" x14ac:dyDescent="0.35">
      <c r="C54" s="389"/>
      <c r="D54" s="390"/>
      <c r="E54" s="391"/>
      <c r="F54" s="392"/>
      <c r="G54" s="392"/>
      <c r="H54" s="392"/>
      <c r="I54" s="392"/>
      <c r="J54" s="392"/>
      <c r="K54" s="392"/>
      <c r="L54" s="392"/>
      <c r="M54" s="392"/>
      <c r="N54" s="392"/>
      <c r="O54" s="389"/>
      <c r="P54" s="393"/>
      <c r="Q54" s="393"/>
      <c r="R54" s="394"/>
      <c r="S54" s="395"/>
      <c r="T54" s="389"/>
      <c r="U54" s="393"/>
      <c r="V54" s="393"/>
      <c r="W54" s="395"/>
      <c r="X54" s="930"/>
      <c r="Y54" s="226" t="s">
        <v>454</v>
      </c>
      <c r="Z54" s="57"/>
    </row>
    <row r="55" spans="1:37" x14ac:dyDescent="0.35">
      <c r="A55" s="42">
        <v>55</v>
      </c>
      <c r="C55" s="235" t="s">
        <v>87</v>
      </c>
      <c r="D55" s="243"/>
      <c r="E55" s="244"/>
      <c r="F55" s="245"/>
      <c r="G55" s="245"/>
      <c r="H55" s="245"/>
      <c r="I55" s="245"/>
      <c r="J55" s="245"/>
      <c r="K55" s="245"/>
      <c r="L55" s="245"/>
      <c r="M55" s="245"/>
      <c r="N55" s="245"/>
      <c r="O55" s="235"/>
      <c r="P55" s="232">
        <v>0</v>
      </c>
      <c r="Q55" s="232">
        <v>150</v>
      </c>
      <c r="R55" s="233">
        <f>+P55-Q55</f>
        <v>-150</v>
      </c>
      <c r="S55" s="234">
        <f>IF(Q55=0,"NA",(+P55-Q55)/Q55)</f>
        <v>-1</v>
      </c>
      <c r="T55" s="235"/>
      <c r="U55" s="232">
        <v>19.96</v>
      </c>
      <c r="V55" s="232">
        <v>125</v>
      </c>
      <c r="W55" s="234">
        <f>IF(V55=0,"NA",(+U55-V55)/V55)</f>
        <v>-0.84031999999999996</v>
      </c>
      <c r="X55" s="1016" t="s">
        <v>708</v>
      </c>
      <c r="Y55" s="780"/>
      <c r="Z55" s="57"/>
      <c r="AE55" s="1">
        <f>+$P55</f>
        <v>0</v>
      </c>
      <c r="AI55" s="1">
        <f>+$U55</f>
        <v>19.96</v>
      </c>
    </row>
    <row r="56" spans="1:37" s="2" customFormat="1" x14ac:dyDescent="0.35">
      <c r="A56" s="42">
        <v>56</v>
      </c>
      <c r="B56" s="19" t="s">
        <v>86</v>
      </c>
      <c r="C56" s="19"/>
      <c r="D56" s="36"/>
      <c r="E56" s="82"/>
      <c r="F56" s="82"/>
      <c r="G56" s="82"/>
      <c r="H56" s="82"/>
      <c r="I56" s="82"/>
      <c r="J56" s="82"/>
      <c r="K56" s="82"/>
      <c r="L56" s="82"/>
      <c r="M56" s="82"/>
      <c r="N56" s="82"/>
      <c r="O56" s="36"/>
      <c r="P56" s="19">
        <f>SUM(P53:P55)</f>
        <v>400</v>
      </c>
      <c r="Q56" s="36">
        <f>SUM(Q53:Q55)</f>
        <v>550</v>
      </c>
      <c r="R56" s="36">
        <f>SUM(R53:R55)</f>
        <v>-150</v>
      </c>
      <c r="S56" s="20">
        <f>IF(Q56=0,"NA",(+P56-Q56)/Q56)</f>
        <v>-0.27272727272727271</v>
      </c>
      <c r="U56" s="36">
        <f>SUM(U53:U55)</f>
        <v>422.21999999999997</v>
      </c>
      <c r="V56" s="36">
        <f>SUM(V53:V55)</f>
        <v>458.3</v>
      </c>
      <c r="W56" s="20">
        <f>IF(V56=0,"NA",(+U56-V56)/V56)</f>
        <v>-7.8725725507309705E-2</v>
      </c>
      <c r="X56" s="934"/>
      <c r="Y56" s="71"/>
      <c r="Z56" s="60"/>
    </row>
    <row r="57" spans="1:37" ht="5.25" customHeight="1" x14ac:dyDescent="0.35">
      <c r="A57" s="42">
        <v>57</v>
      </c>
      <c r="S57" s="4"/>
      <c r="Y57" s="70"/>
      <c r="Z57" s="58"/>
    </row>
    <row r="58" spans="1:37" ht="14" customHeight="1" x14ac:dyDescent="0.35">
      <c r="A58" s="42">
        <v>58</v>
      </c>
      <c r="B58" s="36" t="s">
        <v>453</v>
      </c>
      <c r="C58" s="21"/>
      <c r="D58" s="21"/>
      <c r="E58" s="83"/>
      <c r="F58" s="83"/>
      <c r="G58" s="83"/>
      <c r="H58" s="83"/>
      <c r="I58" s="83"/>
      <c r="J58" s="83"/>
      <c r="K58" s="83"/>
      <c r="L58" s="83"/>
      <c r="M58" s="83"/>
      <c r="N58" s="83"/>
      <c r="O58" s="21"/>
      <c r="P58" s="52">
        <v>200</v>
      </c>
      <c r="Q58" s="52">
        <v>200</v>
      </c>
      <c r="R58" s="44">
        <f>+P58-Q58</f>
        <v>0</v>
      </c>
      <c r="S58" s="20">
        <f>IF(Q58=0,"NA",(+P58-Q58)/Q58)</f>
        <v>0</v>
      </c>
      <c r="U58" s="52">
        <v>125</v>
      </c>
      <c r="V58" s="52">
        <v>166.7</v>
      </c>
      <c r="W58" s="20">
        <f>IF(V58=0,"NA",(+U58-V58)/V58)</f>
        <v>-0.25014997000599876</v>
      </c>
      <c r="X58" s="1023" t="s">
        <v>642</v>
      </c>
      <c r="Y58" s="396" t="s">
        <v>551</v>
      </c>
      <c r="Z58" s="57" t="s">
        <v>114</v>
      </c>
      <c r="AG58" s="1">
        <f>+$P58</f>
        <v>200</v>
      </c>
      <c r="AK58" s="1">
        <f>+$U58</f>
        <v>125</v>
      </c>
    </row>
    <row r="59" spans="1:37" ht="19.5" customHeight="1" x14ac:dyDescent="0.35">
      <c r="A59" s="42">
        <v>60</v>
      </c>
      <c r="B59" s="868" t="s">
        <v>22</v>
      </c>
      <c r="S59" s="4"/>
      <c r="Y59" s="70"/>
      <c r="Z59" s="58"/>
    </row>
    <row r="60" spans="1:37" x14ac:dyDescent="0.35">
      <c r="A60" s="42">
        <v>61</v>
      </c>
      <c r="C60" s="225" t="s">
        <v>23</v>
      </c>
      <c r="D60" s="237"/>
      <c r="E60" s="238"/>
      <c r="F60" s="239"/>
      <c r="G60" s="239"/>
      <c r="H60" s="239"/>
      <c r="I60" s="239"/>
      <c r="J60" s="239"/>
      <c r="K60" s="239"/>
      <c r="L60" s="239"/>
      <c r="M60" s="239"/>
      <c r="N60" s="239"/>
      <c r="O60" s="225"/>
      <c r="P60" s="250">
        <v>200</v>
      </c>
      <c r="Q60" s="250">
        <v>200</v>
      </c>
      <c r="R60" s="223">
        <f t="shared" ref="R60:R66" si="11">+P60-Q60</f>
        <v>0</v>
      </c>
      <c r="S60" s="224">
        <f t="shared" ref="S60:S67" si="12">IF(Q60=0,"NA",(+P60-Q60)/Q60)</f>
        <v>0</v>
      </c>
      <c r="T60" s="225"/>
      <c r="U60" s="222">
        <v>0</v>
      </c>
      <c r="V60" s="222">
        <v>200</v>
      </c>
      <c r="W60" s="224">
        <f t="shared" ref="W60:W67" si="13">IF(V60=0,"NA",(+U60-V60)/V60)</f>
        <v>-1</v>
      </c>
      <c r="X60" s="930"/>
      <c r="Y60" s="226" t="s">
        <v>481</v>
      </c>
      <c r="Z60" s="58"/>
      <c r="AE60" s="1">
        <f>+$P60</f>
        <v>200</v>
      </c>
      <c r="AI60" s="1">
        <f>+$U60</f>
        <v>0</v>
      </c>
    </row>
    <row r="61" spans="1:37" x14ac:dyDescent="0.35">
      <c r="C61" s="235" t="s">
        <v>24</v>
      </c>
      <c r="D61" s="243"/>
      <c r="E61" s="244"/>
      <c r="F61" s="245"/>
      <c r="G61" s="245"/>
      <c r="H61" s="245"/>
      <c r="I61" s="245"/>
      <c r="J61" s="245"/>
      <c r="K61" s="245"/>
      <c r="L61" s="245"/>
      <c r="M61" s="245"/>
      <c r="N61" s="245"/>
      <c r="O61" s="235"/>
      <c r="P61" s="249">
        <v>300</v>
      </c>
      <c r="Q61" s="249">
        <v>300</v>
      </c>
      <c r="R61" s="233">
        <f>+P61-Q61</f>
        <v>0</v>
      </c>
      <c r="S61" s="234">
        <f>IF(Q61=0,"NA",(+P61-Q61)/Q61)</f>
        <v>0</v>
      </c>
      <c r="T61" s="235"/>
      <c r="U61" s="232">
        <v>0</v>
      </c>
      <c r="V61" s="232">
        <v>300</v>
      </c>
      <c r="W61" s="234">
        <f>IF(V61=0,"NA",(+U61-V61)/V61)</f>
        <v>-1</v>
      </c>
      <c r="X61" s="923"/>
      <c r="Y61" s="781" t="s">
        <v>480</v>
      </c>
      <c r="Z61" s="58"/>
    </row>
    <row r="62" spans="1:37" ht="15.5" hidden="1" x14ac:dyDescent="0.35">
      <c r="A62" s="42">
        <v>62</v>
      </c>
      <c r="D62" s="1"/>
      <c r="E62" s="1"/>
      <c r="F62" s="1"/>
      <c r="G62" s="1"/>
      <c r="H62" s="1"/>
      <c r="I62" s="1"/>
      <c r="J62" s="1"/>
      <c r="K62" s="1"/>
      <c r="L62" s="1"/>
      <c r="M62" s="1"/>
      <c r="N62" s="1"/>
      <c r="W62" s="1"/>
      <c r="Y62" s="226" t="s">
        <v>456</v>
      </c>
      <c r="Z62" s="62" t="s">
        <v>113</v>
      </c>
      <c r="AE62" s="1">
        <f>+$P61</f>
        <v>300</v>
      </c>
      <c r="AI62" s="1">
        <f>+$U61</f>
        <v>0</v>
      </c>
    </row>
    <row r="63" spans="1:37" x14ac:dyDescent="0.35">
      <c r="A63" s="42">
        <v>63</v>
      </c>
      <c r="C63" s="235" t="s">
        <v>25</v>
      </c>
      <c r="D63" s="243"/>
      <c r="E63" s="244"/>
      <c r="F63" s="245"/>
      <c r="G63" s="245"/>
      <c r="H63" s="245"/>
      <c r="I63" s="245"/>
      <c r="J63" s="245"/>
      <c r="K63" s="245"/>
      <c r="L63" s="245"/>
      <c r="M63" s="245"/>
      <c r="N63" s="245"/>
      <c r="O63" s="235"/>
      <c r="P63" s="249">
        <v>1000</v>
      </c>
      <c r="Q63" s="249">
        <v>1000</v>
      </c>
      <c r="R63" s="233">
        <f t="shared" si="11"/>
        <v>0</v>
      </c>
      <c r="S63" s="234">
        <f t="shared" si="12"/>
        <v>0</v>
      </c>
      <c r="T63" s="235"/>
      <c r="U63" s="232">
        <v>890</v>
      </c>
      <c r="V63" s="232">
        <v>1000</v>
      </c>
      <c r="W63" s="234">
        <f t="shared" si="13"/>
        <v>-0.11</v>
      </c>
      <c r="X63" s="923" t="s">
        <v>661</v>
      </c>
      <c r="Y63" s="236" t="s">
        <v>558</v>
      </c>
      <c r="Z63" s="63"/>
      <c r="AG63" s="1">
        <f>+$P63</f>
        <v>1000</v>
      </c>
      <c r="AJ63" s="1">
        <f t="shared" ref="AI63:AJ66" si="14">+$U63</f>
        <v>890</v>
      </c>
    </row>
    <row r="64" spans="1:37" x14ac:dyDescent="0.35">
      <c r="A64" s="42">
        <v>64</v>
      </c>
      <c r="C64" s="230" t="s">
        <v>26</v>
      </c>
      <c r="D64" s="240"/>
      <c r="E64" s="241"/>
      <c r="F64" s="242"/>
      <c r="G64" s="242"/>
      <c r="H64" s="242"/>
      <c r="I64" s="242"/>
      <c r="J64" s="242"/>
      <c r="K64" s="242"/>
      <c r="L64" s="242"/>
      <c r="M64" s="242"/>
      <c r="N64" s="242"/>
      <c r="O64" s="230"/>
      <c r="P64" s="248">
        <v>0</v>
      </c>
      <c r="Q64" s="248">
        <v>2000</v>
      </c>
      <c r="R64" s="228">
        <f t="shared" si="11"/>
        <v>-2000</v>
      </c>
      <c r="S64" s="229">
        <f t="shared" si="12"/>
        <v>-1</v>
      </c>
      <c r="T64" s="230"/>
      <c r="U64" s="227">
        <v>0</v>
      </c>
      <c r="V64" s="227">
        <v>1666.7</v>
      </c>
      <c r="W64" s="229">
        <f t="shared" si="13"/>
        <v>-1</v>
      </c>
      <c r="X64" s="1015" t="s">
        <v>647</v>
      </c>
      <c r="Y64" s="631" t="s">
        <v>559</v>
      </c>
      <c r="Z64" s="61"/>
      <c r="AG64" s="1">
        <f>+$P64</f>
        <v>0</v>
      </c>
      <c r="AJ64" s="1">
        <f t="shared" si="14"/>
        <v>0</v>
      </c>
    </row>
    <row r="65" spans="1:35" x14ac:dyDescent="0.35">
      <c r="C65" s="230" t="s">
        <v>281</v>
      </c>
      <c r="D65" s="240"/>
      <c r="E65" s="241"/>
      <c r="F65" s="242"/>
      <c r="G65" s="242"/>
      <c r="H65" s="242"/>
      <c r="I65" s="242"/>
      <c r="J65" s="242"/>
      <c r="K65" s="242"/>
      <c r="L65" s="242"/>
      <c r="M65" s="242"/>
      <c r="N65" s="242"/>
      <c r="O65" s="230"/>
      <c r="P65" s="248">
        <v>200</v>
      </c>
      <c r="Q65" s="248">
        <v>200</v>
      </c>
      <c r="R65" s="228">
        <f>+P65-Q65</f>
        <v>0</v>
      </c>
      <c r="S65" s="229">
        <f>IF(Q65=0,"NA",(+P65-Q65)/Q65)</f>
        <v>0</v>
      </c>
      <c r="T65" s="230"/>
      <c r="U65" s="227">
        <v>59.5</v>
      </c>
      <c r="V65" s="227">
        <v>166.7</v>
      </c>
      <c r="W65" s="229">
        <f>IF(V65=0,"NA",(+U65-V65)/V65)</f>
        <v>-0.64307138572285538</v>
      </c>
      <c r="X65" s="928" t="s">
        <v>696</v>
      </c>
      <c r="Y65" s="231"/>
      <c r="Z65" s="61"/>
      <c r="AE65" s="1">
        <f>+$P65</f>
        <v>200</v>
      </c>
      <c r="AI65" s="1">
        <f t="shared" si="14"/>
        <v>59.5</v>
      </c>
    </row>
    <row r="66" spans="1:35" ht="12.5" customHeight="1" x14ac:dyDescent="0.35">
      <c r="A66" s="42">
        <v>65</v>
      </c>
      <c r="C66" s="235" t="s">
        <v>112</v>
      </c>
      <c r="D66" s="243"/>
      <c r="E66" s="244"/>
      <c r="F66" s="245"/>
      <c r="G66" s="245"/>
      <c r="H66" s="245"/>
      <c r="I66" s="245"/>
      <c r="J66" s="245"/>
      <c r="K66" s="245"/>
      <c r="L66" s="245"/>
      <c r="M66" s="245"/>
      <c r="N66" s="245"/>
      <c r="O66" s="235"/>
      <c r="P66" s="249">
        <f>1575-91</f>
        <v>1484</v>
      </c>
      <c r="Q66" s="249">
        <v>1484</v>
      </c>
      <c r="R66" s="233">
        <f t="shared" si="11"/>
        <v>0</v>
      </c>
      <c r="S66" s="234">
        <f t="shared" si="12"/>
        <v>0</v>
      </c>
      <c r="T66" s="235"/>
      <c r="U66" s="249">
        <v>690</v>
      </c>
      <c r="V66" s="249">
        <v>1236.7</v>
      </c>
      <c r="W66" s="234">
        <f t="shared" si="13"/>
        <v>-0.44206355623837634</v>
      </c>
      <c r="X66" s="1055"/>
      <c r="Y66" s="396" t="s">
        <v>579</v>
      </c>
      <c r="Z66" s="57" t="s">
        <v>113</v>
      </c>
      <c r="AE66" s="1">
        <f>+$P66</f>
        <v>1484</v>
      </c>
      <c r="AI66" s="1">
        <f t="shared" si="14"/>
        <v>690</v>
      </c>
    </row>
    <row r="67" spans="1:35" s="2" customFormat="1" x14ac:dyDescent="0.35">
      <c r="A67" s="42">
        <v>66</v>
      </c>
      <c r="B67" s="19" t="s">
        <v>27</v>
      </c>
      <c r="C67" s="19"/>
      <c r="D67" s="36"/>
      <c r="E67" s="82"/>
      <c r="F67" s="82"/>
      <c r="G67" s="82"/>
      <c r="H67" s="82"/>
      <c r="I67" s="82"/>
      <c r="J67" s="82"/>
      <c r="K67" s="82"/>
      <c r="L67" s="82"/>
      <c r="M67" s="82"/>
      <c r="N67" s="82"/>
      <c r="O67" s="36"/>
      <c r="P67" s="19">
        <f>SUM(P60:P66)</f>
        <v>3184</v>
      </c>
      <c r="Q67" s="36">
        <f>SUM(Q60:Q66)</f>
        <v>5184</v>
      </c>
      <c r="R67" s="36">
        <f>SUM(R60:R66)</f>
        <v>-2000</v>
      </c>
      <c r="S67" s="20">
        <f t="shared" si="12"/>
        <v>-0.38580246913580246</v>
      </c>
      <c r="U67" s="36">
        <f>SUM(U60:U66)</f>
        <v>1639.5</v>
      </c>
      <c r="V67" s="36">
        <f>SUM(V60:V66)</f>
        <v>4570.0999999999995</v>
      </c>
      <c r="W67" s="20">
        <f t="shared" si="13"/>
        <v>-0.64125511476772934</v>
      </c>
      <c r="X67" s="934"/>
      <c r="Y67" s="71"/>
      <c r="Z67" s="60"/>
    </row>
    <row r="68" spans="1:35" ht="19.5" customHeight="1" x14ac:dyDescent="0.35">
      <c r="A68" s="42">
        <v>68</v>
      </c>
      <c r="B68" s="868" t="s">
        <v>28</v>
      </c>
      <c r="S68" s="4"/>
      <c r="Y68" s="70"/>
      <c r="Z68" s="58"/>
      <c r="AE68" s="546">
        <v>0.33300000000000002</v>
      </c>
      <c r="AF68" s="546">
        <v>0.33300000000000002</v>
      </c>
      <c r="AG68" s="546">
        <v>0.33400000000000002</v>
      </c>
    </row>
    <row r="69" spans="1:35" ht="17" customHeight="1" x14ac:dyDescent="0.35">
      <c r="A69" s="42">
        <v>69</v>
      </c>
      <c r="C69" s="225" t="s">
        <v>29</v>
      </c>
      <c r="D69" s="237"/>
      <c r="E69" s="238"/>
      <c r="F69" s="239"/>
      <c r="G69" s="239"/>
      <c r="H69" s="239"/>
      <c r="I69" s="239"/>
      <c r="J69" s="239"/>
      <c r="K69" s="239"/>
      <c r="L69" s="239"/>
      <c r="M69" s="239"/>
      <c r="N69" s="239"/>
      <c r="O69" s="225"/>
      <c r="P69" s="250">
        <v>2000</v>
      </c>
      <c r="Q69" s="250">
        <v>2500</v>
      </c>
      <c r="R69" s="223">
        <f t="shared" ref="R69:R74" si="15">+P69-Q69</f>
        <v>-500</v>
      </c>
      <c r="S69" s="224">
        <f t="shared" ref="S69:S78" si="16">IF(Q69=0,"NA",(+P69-Q69)/Q69)</f>
        <v>-0.2</v>
      </c>
      <c r="T69" s="225"/>
      <c r="U69" s="222">
        <v>1788.56</v>
      </c>
      <c r="V69" s="222">
        <v>2083.3000000000002</v>
      </c>
      <c r="W69" s="224">
        <f t="shared" ref="W69:W78" si="17">IF(V69=0,"NA",(+U69-V69)/V69)</f>
        <v>-0.14147746363941832</v>
      </c>
      <c r="X69" s="930"/>
      <c r="Y69" s="790" t="s">
        <v>488</v>
      </c>
      <c r="Z69" s="61" t="s">
        <v>293</v>
      </c>
      <c r="AE69" s="1">
        <f>+$P69*AE$68</f>
        <v>666</v>
      </c>
      <c r="AF69" s="1">
        <f t="shared" ref="AF69:AG74" si="18">+$P69*AF$68</f>
        <v>666</v>
      </c>
      <c r="AG69" s="1">
        <f t="shared" si="18"/>
        <v>668</v>
      </c>
      <c r="AI69" s="1">
        <f t="shared" ref="AI69:AI74" si="19">+$U69</f>
        <v>1788.56</v>
      </c>
    </row>
    <row r="70" spans="1:35" x14ac:dyDescent="0.35">
      <c r="A70" s="42">
        <v>70</v>
      </c>
      <c r="C70" s="230" t="s">
        <v>30</v>
      </c>
      <c r="D70" s="240"/>
      <c r="E70" s="241"/>
      <c r="F70" s="242"/>
      <c r="G70" s="242"/>
      <c r="H70" s="242"/>
      <c r="I70" s="242"/>
      <c r="J70" s="242"/>
      <c r="K70" s="242"/>
      <c r="L70" s="242"/>
      <c r="M70" s="242"/>
      <c r="N70" s="242"/>
      <c r="O70" s="230"/>
      <c r="P70" s="227">
        <v>2000</v>
      </c>
      <c r="Q70" s="227">
        <v>2300</v>
      </c>
      <c r="R70" s="228">
        <f t="shared" si="15"/>
        <v>-300</v>
      </c>
      <c r="S70" s="229">
        <f t="shared" si="16"/>
        <v>-0.13043478260869565</v>
      </c>
      <c r="T70" s="230"/>
      <c r="U70" s="227">
        <v>1760</v>
      </c>
      <c r="V70" s="227">
        <v>1916.7</v>
      </c>
      <c r="W70" s="229">
        <f t="shared" si="17"/>
        <v>-8.1755099911305917E-2</v>
      </c>
      <c r="X70" s="1017" t="s">
        <v>649</v>
      </c>
      <c r="Y70" s="790" t="s">
        <v>488</v>
      </c>
      <c r="Z70" s="61" t="s">
        <v>113</v>
      </c>
      <c r="AE70" s="1">
        <f>+$P70*AE$68</f>
        <v>666</v>
      </c>
      <c r="AF70" s="1">
        <f t="shared" si="18"/>
        <v>666</v>
      </c>
      <c r="AG70" s="1">
        <f t="shared" si="18"/>
        <v>668</v>
      </c>
      <c r="AI70" s="1">
        <f t="shared" si="19"/>
        <v>1760</v>
      </c>
    </row>
    <row r="71" spans="1:35" ht="16.5" customHeight="1" x14ac:dyDescent="0.35">
      <c r="A71" s="42">
        <v>73</v>
      </c>
      <c r="C71" s="235" t="s">
        <v>31</v>
      </c>
      <c r="D71" s="243"/>
      <c r="E71" s="244"/>
      <c r="F71" s="245"/>
      <c r="G71" s="245"/>
      <c r="H71" s="245"/>
      <c r="I71" s="245"/>
      <c r="J71" s="245"/>
      <c r="K71" s="245"/>
      <c r="L71" s="245"/>
      <c r="M71" s="245"/>
      <c r="N71" s="245"/>
      <c r="O71" s="235"/>
      <c r="P71" s="249">
        <v>10800</v>
      </c>
      <c r="Q71" s="249">
        <v>11000</v>
      </c>
      <c r="R71" s="233">
        <f t="shared" si="15"/>
        <v>-200</v>
      </c>
      <c r="S71" s="234">
        <f t="shared" si="16"/>
        <v>-1.8181818181818181E-2</v>
      </c>
      <c r="T71" s="235"/>
      <c r="U71" s="249">
        <v>11110.05</v>
      </c>
      <c r="V71" s="232">
        <v>9166.7000000000007</v>
      </c>
      <c r="W71" s="234">
        <f t="shared" si="17"/>
        <v>0.21200104726891886</v>
      </c>
      <c r="X71" s="1014" t="s">
        <v>648</v>
      </c>
      <c r="Y71" s="630" t="s">
        <v>488</v>
      </c>
      <c r="Z71" s="61" t="s">
        <v>133</v>
      </c>
      <c r="AE71" s="1">
        <f>+$P71*AE$68</f>
        <v>3596.4</v>
      </c>
      <c r="AF71" s="1">
        <f t="shared" si="18"/>
        <v>3596.4</v>
      </c>
      <c r="AG71" s="1">
        <f t="shared" si="18"/>
        <v>3607.2000000000003</v>
      </c>
      <c r="AI71" s="1">
        <f t="shared" si="19"/>
        <v>11110.05</v>
      </c>
    </row>
    <row r="72" spans="1:35" ht="29" hidden="1" x14ac:dyDescent="0.35">
      <c r="C72" s="225"/>
      <c r="D72" s="237"/>
      <c r="E72" s="238"/>
      <c r="F72" s="239"/>
      <c r="G72" s="239"/>
      <c r="H72" s="239"/>
      <c r="I72" s="239"/>
      <c r="J72" s="239"/>
      <c r="K72" s="239"/>
      <c r="L72" s="239"/>
      <c r="M72" s="239"/>
      <c r="N72" s="239"/>
      <c r="O72" s="225"/>
      <c r="P72" s="250"/>
      <c r="Q72" s="250"/>
      <c r="R72" s="223"/>
      <c r="S72" s="224"/>
      <c r="T72" s="225"/>
      <c r="U72" s="250"/>
      <c r="V72" s="222"/>
      <c r="W72" s="224"/>
      <c r="X72" s="930"/>
      <c r="Y72" s="226" t="s">
        <v>497</v>
      </c>
      <c r="Z72" s="61"/>
      <c r="AA72" s="2"/>
    </row>
    <row r="73" spans="1:35" ht="15.5" customHeight="1" x14ac:dyDescent="0.35">
      <c r="A73" s="42">
        <v>74</v>
      </c>
      <c r="C73" s="230" t="s">
        <v>32</v>
      </c>
      <c r="D73" s="240"/>
      <c r="E73" s="241"/>
      <c r="F73" s="242"/>
      <c r="G73" s="242"/>
      <c r="H73" s="242"/>
      <c r="I73" s="242"/>
      <c r="J73" s="242"/>
      <c r="K73" s="242"/>
      <c r="L73" s="242"/>
      <c r="M73" s="242"/>
      <c r="N73" s="242"/>
      <c r="O73" s="230"/>
      <c r="P73" s="248">
        <v>700</v>
      </c>
      <c r="Q73" s="248">
        <v>800</v>
      </c>
      <c r="R73" s="228">
        <f t="shared" si="15"/>
        <v>-100</v>
      </c>
      <c r="S73" s="229">
        <f t="shared" si="16"/>
        <v>-0.125</v>
      </c>
      <c r="T73" s="230"/>
      <c r="U73" s="227">
        <v>79.98</v>
      </c>
      <c r="V73" s="227">
        <v>666.7</v>
      </c>
      <c r="W73" s="229">
        <f t="shared" si="17"/>
        <v>-0.88003599820008993</v>
      </c>
      <c r="X73" s="1015" t="s">
        <v>649</v>
      </c>
      <c r="Y73" s="631" t="s">
        <v>489</v>
      </c>
      <c r="Z73" s="58"/>
      <c r="AE73" s="1">
        <f>+$P73*AE$68</f>
        <v>233.10000000000002</v>
      </c>
      <c r="AF73" s="1">
        <f t="shared" si="18"/>
        <v>233.10000000000002</v>
      </c>
      <c r="AG73" s="1">
        <f t="shared" si="18"/>
        <v>233.8</v>
      </c>
      <c r="AI73" s="1">
        <f t="shared" si="19"/>
        <v>79.98</v>
      </c>
    </row>
    <row r="74" spans="1:35" ht="16" customHeight="1" thickBot="1" x14ac:dyDescent="0.4">
      <c r="A74" s="42">
        <v>75</v>
      </c>
      <c r="C74" s="235" t="s">
        <v>33</v>
      </c>
      <c r="D74" s="243"/>
      <c r="E74" s="1176" t="s">
        <v>155</v>
      </c>
      <c r="F74" s="1177"/>
      <c r="G74" s="1177"/>
      <c r="H74" s="1177"/>
      <c r="I74" s="1177"/>
      <c r="J74" s="1177"/>
      <c r="K74" s="1177"/>
      <c r="L74" s="1177"/>
      <c r="M74" s="1178"/>
      <c r="N74" s="386"/>
      <c r="O74" s="235"/>
      <c r="P74" s="249">
        <v>1700</v>
      </c>
      <c r="Q74" s="249">
        <v>1700</v>
      </c>
      <c r="R74" s="233">
        <f t="shared" si="15"/>
        <v>0</v>
      </c>
      <c r="S74" s="234">
        <f t="shared" si="16"/>
        <v>0</v>
      </c>
      <c r="T74" s="235"/>
      <c r="U74" s="232">
        <v>1751.19</v>
      </c>
      <c r="V74" s="232">
        <v>1416.7</v>
      </c>
      <c r="W74" s="234">
        <f t="shared" si="17"/>
        <v>0.2361050328227571</v>
      </c>
      <c r="X74" s="1014" t="s">
        <v>649</v>
      </c>
      <c r="Y74" s="236" t="s">
        <v>560</v>
      </c>
      <c r="Z74" s="61" t="s">
        <v>126</v>
      </c>
      <c r="AE74" s="1">
        <f>+$P74*AE$68</f>
        <v>566.1</v>
      </c>
      <c r="AF74" s="1">
        <f t="shared" si="18"/>
        <v>566.1</v>
      </c>
      <c r="AG74" s="1">
        <f t="shared" si="18"/>
        <v>567.80000000000007</v>
      </c>
      <c r="AI74" s="1">
        <f t="shared" si="19"/>
        <v>1751.19</v>
      </c>
    </row>
    <row r="75" spans="1:35" ht="15" customHeight="1" thickBot="1" x14ac:dyDescent="0.4">
      <c r="C75" s="235" t="s">
        <v>270</v>
      </c>
      <c r="D75" s="243"/>
      <c r="E75" s="244"/>
      <c r="F75" s="245"/>
      <c r="G75" s="245"/>
      <c r="H75" s="245"/>
      <c r="I75" s="245"/>
      <c r="J75" s="245"/>
      <c r="K75" s="245"/>
      <c r="L75" s="245"/>
      <c r="M75" s="245"/>
      <c r="N75" s="245"/>
      <c r="O75" s="235"/>
      <c r="P75" s="249">
        <f>1500-500</f>
        <v>1000</v>
      </c>
      <c r="Q75" s="249">
        <f>1500-500</f>
        <v>1000</v>
      </c>
      <c r="R75" s="233">
        <f>+P75-Q75</f>
        <v>0</v>
      </c>
      <c r="S75" s="234">
        <f>IF(Q75=0,"NA",(+P75-Q75)/Q75)</f>
        <v>0</v>
      </c>
      <c r="T75" s="235"/>
      <c r="U75" s="232">
        <v>500</v>
      </c>
      <c r="V75" s="232">
        <v>833.3</v>
      </c>
      <c r="W75" s="234">
        <f>IF(V75=0,"NA",(+U75-V75)/V75)</f>
        <v>-0.39997599903996156</v>
      </c>
      <c r="X75" s="1024" t="s">
        <v>657</v>
      </c>
      <c r="Y75" s="630" t="s">
        <v>577</v>
      </c>
      <c r="Z75" s="61"/>
    </row>
    <row r="76" spans="1:35" ht="14.5" hidden="1" customHeight="1" thickBot="1" x14ac:dyDescent="0.4">
      <c r="A76" s="42">
        <v>73</v>
      </c>
      <c r="D76" s="1"/>
      <c r="E76" s="1"/>
      <c r="F76" s="1"/>
      <c r="G76" s="1"/>
      <c r="H76" s="1"/>
      <c r="I76" s="1"/>
      <c r="J76" s="1"/>
      <c r="K76" s="1"/>
      <c r="L76" s="1"/>
      <c r="M76" s="1"/>
      <c r="N76" s="1"/>
      <c r="W76" s="1"/>
      <c r="Y76" s="788" t="s">
        <v>561</v>
      </c>
      <c r="Z76" s="61" t="s">
        <v>133</v>
      </c>
      <c r="AE76" s="1">
        <f>+$P75*AE$68</f>
        <v>333</v>
      </c>
      <c r="AF76" s="1">
        <f>+$P75*AF$68</f>
        <v>333</v>
      </c>
      <c r="AG76" s="1">
        <f>+$P75*AG$68</f>
        <v>334</v>
      </c>
      <c r="AI76" s="1">
        <f>+$U75</f>
        <v>500</v>
      </c>
    </row>
    <row r="77" spans="1:35" s="2" customFormat="1" x14ac:dyDescent="0.35">
      <c r="A77" s="42">
        <v>76</v>
      </c>
      <c r="B77" s="19" t="s">
        <v>35</v>
      </c>
      <c r="C77" s="19"/>
      <c r="D77" s="36"/>
      <c r="E77" s="1174">
        <f>Bud_Yr</f>
        <v>2023</v>
      </c>
      <c r="F77" s="1175"/>
      <c r="G77" s="1175"/>
      <c r="H77" s="1175"/>
      <c r="I77" s="1175">
        <f>Bud_Yr-1</f>
        <v>2022</v>
      </c>
      <c r="J77" s="1175"/>
      <c r="K77" s="1175"/>
      <c r="L77" s="1175"/>
      <c r="M77" s="89">
        <f>Bud_Yr-2</f>
        <v>2021</v>
      </c>
      <c r="N77" s="387"/>
      <c r="O77" s="36"/>
      <c r="P77" s="19">
        <f>SUM(P69:P75)</f>
        <v>18200</v>
      </c>
      <c r="Q77" s="36">
        <f>SUM(Q69:Q75)</f>
        <v>19300</v>
      </c>
      <c r="R77" s="36">
        <f>SUM(R69:R75)</f>
        <v>-1100</v>
      </c>
      <c r="S77" s="20">
        <f t="shared" si="16"/>
        <v>-5.6994818652849742E-2</v>
      </c>
      <c r="U77" s="36">
        <f>SUM(U69:U75)</f>
        <v>16989.78</v>
      </c>
      <c r="V77" s="36">
        <f>SUM(V69:V75)</f>
        <v>16083.400000000001</v>
      </c>
      <c r="W77" s="20">
        <f t="shared" si="17"/>
        <v>5.6354999564768478E-2</v>
      </c>
      <c r="X77" s="934"/>
      <c r="Y77" s="93"/>
      <c r="Z77" s="60"/>
      <c r="AA77" s="1"/>
    </row>
    <row r="78" spans="1:35" ht="15" thickBot="1" x14ac:dyDescent="0.4">
      <c r="A78" s="42">
        <v>77</v>
      </c>
      <c r="B78" s="19" t="s">
        <v>85</v>
      </c>
      <c r="C78" s="22"/>
      <c r="D78" s="22"/>
      <c r="E78" s="90" t="s">
        <v>153</v>
      </c>
      <c r="F78" s="91" t="s">
        <v>154</v>
      </c>
      <c r="G78" s="91" t="s">
        <v>157</v>
      </c>
      <c r="H78" s="91" t="s">
        <v>152</v>
      </c>
      <c r="I78" s="91" t="s">
        <v>153</v>
      </c>
      <c r="J78" s="91" t="s">
        <v>154</v>
      </c>
      <c r="K78" s="91" t="s">
        <v>157</v>
      </c>
      <c r="L78" s="91" t="s">
        <v>152</v>
      </c>
      <c r="M78" s="92" t="s">
        <v>154</v>
      </c>
      <c r="N78" s="388"/>
      <c r="O78" s="22"/>
      <c r="P78" s="19">
        <f>+P44+P49+P51+P58+P67+P77+P56</f>
        <v>31334</v>
      </c>
      <c r="Q78" s="36">
        <f>+Q44+Q49+Q51+Q58+Q67+Q77+Q56</f>
        <v>41084</v>
      </c>
      <c r="R78" s="36">
        <f>+R44+R49+R51+R58+R67+R77+R56</f>
        <v>-9750</v>
      </c>
      <c r="S78" s="20">
        <f t="shared" si="16"/>
        <v>-0.23731866420017525</v>
      </c>
      <c r="U78" s="36">
        <f>+U44+U49+U51+U58+U67+U77+U56</f>
        <v>23350.14</v>
      </c>
      <c r="V78" s="36">
        <f>+V44+V49+V51+V58+V67+V77+V56</f>
        <v>34372.540000000008</v>
      </c>
      <c r="W78" s="20">
        <f t="shared" si="17"/>
        <v>-0.32067458500302876</v>
      </c>
      <c r="X78" s="934"/>
      <c r="Y78" s="70"/>
      <c r="Z78" s="58"/>
    </row>
    <row r="79" spans="1:35" ht="23" customHeight="1" x14ac:dyDescent="0.35">
      <c r="A79" s="42">
        <v>79</v>
      </c>
      <c r="B79" s="6" t="s">
        <v>34</v>
      </c>
      <c r="F79" s="84">
        <v>0.03</v>
      </c>
      <c r="G79" s="1179" t="s">
        <v>98</v>
      </c>
      <c r="H79" s="1179"/>
      <c r="K79" s="75" t="s">
        <v>170</v>
      </c>
      <c r="L79" s="84">
        <v>0.01</v>
      </c>
      <c r="O79" s="1162" t="s">
        <v>94</v>
      </c>
      <c r="S79" s="4"/>
      <c r="Y79" s="70"/>
      <c r="Z79" s="58"/>
    </row>
    <row r="80" spans="1:35" x14ac:dyDescent="0.35">
      <c r="A80" s="42">
        <v>80</v>
      </c>
      <c r="B80" s="1012" t="s">
        <v>147</v>
      </c>
      <c r="D80" s="1011"/>
      <c r="F80" s="84">
        <v>0.03</v>
      </c>
      <c r="G80" s="1179" t="s">
        <v>99</v>
      </c>
      <c r="H80" s="1179"/>
      <c r="K80" s="75"/>
      <c r="O80" s="1162"/>
      <c r="R80" s="118"/>
      <c r="S80" s="4"/>
      <c r="U80" s="119"/>
      <c r="V80" s="34"/>
      <c r="Y80" s="789" t="s">
        <v>564</v>
      </c>
      <c r="Z80" s="57"/>
    </row>
    <row r="81" spans="1:38" ht="15" customHeight="1" x14ac:dyDescent="0.35">
      <c r="C81" s="389" t="s">
        <v>171</v>
      </c>
      <c r="D81" s="390"/>
      <c r="E81" s="391"/>
      <c r="F81" s="841"/>
      <c r="G81" s="842" t="s">
        <v>259</v>
      </c>
      <c r="H81" s="122"/>
      <c r="I81" s="123"/>
      <c r="J81" s="391"/>
      <c r="K81" s="123"/>
      <c r="L81" s="843"/>
      <c r="M81" s="126"/>
      <c r="N81" s="126"/>
      <c r="O81" s="390"/>
      <c r="P81" s="397">
        <v>0</v>
      </c>
      <c r="Q81" s="795">
        <f>+'Pastor Karen'!Q16</f>
        <v>78499</v>
      </c>
      <c r="R81" s="394">
        <f>+P81-Q81</f>
        <v>-78499</v>
      </c>
      <c r="S81" s="395">
        <f>IF(Q81=0,"NA",(+P81-Q81)/Q81)</f>
        <v>-1</v>
      </c>
      <c r="T81" s="389"/>
      <c r="U81" s="393">
        <f>32957.82+12833.98</f>
        <v>45791.8</v>
      </c>
      <c r="V81" s="393">
        <f>47082.5+18333.3</f>
        <v>65415.8</v>
      </c>
      <c r="W81" s="395">
        <f>IF(V81=0,"NA",(+U81-V81)/V81)</f>
        <v>-0.29998868774821985</v>
      </c>
      <c r="X81" s="1016"/>
      <c r="Y81" s="1157" t="s">
        <v>565</v>
      </c>
      <c r="Z81" s="57"/>
    </row>
    <row r="82" spans="1:38" ht="14.5" hidden="1" customHeight="1" x14ac:dyDescent="0.35">
      <c r="A82" s="42">
        <v>81</v>
      </c>
      <c r="D82" s="1"/>
      <c r="E82" s="1"/>
      <c r="F82" s="1"/>
      <c r="G82" s="1"/>
      <c r="H82" s="1"/>
      <c r="I82" s="1"/>
      <c r="J82" s="1"/>
      <c r="K82" s="1"/>
      <c r="L82" s="1"/>
      <c r="M82" s="1"/>
      <c r="N82" s="1"/>
      <c r="P82" s="51"/>
      <c r="W82" s="1"/>
      <c r="Y82" s="1158"/>
      <c r="Z82" s="61" t="s">
        <v>127</v>
      </c>
    </row>
    <row r="83" spans="1:38" x14ac:dyDescent="0.35">
      <c r="A83" s="42">
        <v>82</v>
      </c>
      <c r="C83" s="230" t="s">
        <v>36</v>
      </c>
      <c r="D83" s="240"/>
      <c r="E83" s="241"/>
      <c r="F83" s="257" t="s">
        <v>260</v>
      </c>
      <c r="G83" s="258">
        <f>+('Pastor Karen'!I11+P124+P127+P134)-('Pastor Karen'!G11+Q124+Q127+Q134)</f>
        <v>25286</v>
      </c>
      <c r="H83" s="259" t="s">
        <v>292</v>
      </c>
      <c r="I83" s="260"/>
      <c r="J83" s="241"/>
      <c r="K83" s="261"/>
      <c r="L83" s="241"/>
      <c r="M83" s="262"/>
      <c r="N83" s="262"/>
      <c r="O83" s="263"/>
      <c r="P83" s="248">
        <v>0</v>
      </c>
      <c r="Q83" s="264">
        <f>+'Pastor Karen'!Q54</f>
        <v>1500</v>
      </c>
      <c r="R83" s="228">
        <f t="shared" ref="R83:R91" si="20">+P83-Q83</f>
        <v>-1500</v>
      </c>
      <c r="S83" s="229">
        <f t="shared" ref="S83:S92" si="21">IF(Q83=0,"NA",(+P83-Q83)/Q83)</f>
        <v>-1</v>
      </c>
      <c r="T83" s="230"/>
      <c r="U83" s="227">
        <v>0</v>
      </c>
      <c r="V83" s="227">
        <v>1250</v>
      </c>
      <c r="W83" s="229">
        <f t="shared" ref="W83:W92" si="22">IF(V83=0,"NA",(+U83-V83)/V83)</f>
        <v>-1</v>
      </c>
      <c r="X83" s="928"/>
      <c r="Y83" s="231" t="s">
        <v>163</v>
      </c>
      <c r="Z83" s="61"/>
    </row>
    <row r="84" spans="1:38" ht="14.5" customHeight="1" x14ac:dyDescent="0.35">
      <c r="C84" s="230" t="s">
        <v>288</v>
      </c>
      <c r="D84" s="240"/>
      <c r="E84" s="241"/>
      <c r="F84" s="257" t="s">
        <v>261</v>
      </c>
      <c r="G84" s="258">
        <f>(+P110+P118+P120+P121)-(Q110+Q118+Q120+Q121)</f>
        <v>-5255</v>
      </c>
      <c r="H84" s="241"/>
      <c r="I84" s="241"/>
      <c r="J84" s="259"/>
      <c r="K84" s="241"/>
      <c r="L84" s="241"/>
      <c r="M84" s="241"/>
      <c r="N84" s="241"/>
      <c r="O84" s="263"/>
      <c r="P84" s="248">
        <v>0</v>
      </c>
      <c r="Q84" s="271">
        <f>+'Pastor Karen'!Q18</f>
        <v>6005</v>
      </c>
      <c r="R84" s="228">
        <f t="shared" si="20"/>
        <v>-6005</v>
      </c>
      <c r="S84" s="229">
        <f t="shared" si="21"/>
        <v>-1</v>
      </c>
      <c r="T84" s="230"/>
      <c r="U84" s="227">
        <v>3502.94</v>
      </c>
      <c r="V84" s="227">
        <v>5004.2</v>
      </c>
      <c r="W84" s="229">
        <f t="shared" si="22"/>
        <v>-0.3</v>
      </c>
      <c r="X84" s="928"/>
      <c r="Y84" s="231" t="s">
        <v>212</v>
      </c>
      <c r="Z84" s="61"/>
    </row>
    <row r="85" spans="1:38" ht="43.5" hidden="1" x14ac:dyDescent="0.35">
      <c r="C85" s="1181" t="s">
        <v>169</v>
      </c>
      <c r="D85" s="1181"/>
      <c r="E85" s="265"/>
      <c r="F85" s="266" t="s">
        <v>210</v>
      </c>
      <c r="G85" s="267">
        <f>+G83+G84</f>
        <v>20031</v>
      </c>
      <c r="H85" s="268"/>
      <c r="I85" s="264"/>
      <c r="J85" s="269"/>
      <c r="K85" s="241"/>
      <c r="L85" s="1196"/>
      <c r="M85" s="1196"/>
      <c r="N85" s="1196"/>
      <c r="O85" s="1196"/>
      <c r="P85" s="248">
        <v>0</v>
      </c>
      <c r="Q85" s="248">
        <v>0</v>
      </c>
      <c r="R85" s="228">
        <f>+P85-Q85</f>
        <v>0</v>
      </c>
      <c r="S85" s="229" t="str">
        <f t="shared" si="21"/>
        <v>NA</v>
      </c>
      <c r="T85" s="230"/>
      <c r="U85" s="227">
        <v>0</v>
      </c>
      <c r="V85" s="227">
        <v>0</v>
      </c>
      <c r="W85" s="229" t="str">
        <f t="shared" si="22"/>
        <v>NA</v>
      </c>
      <c r="X85" s="928"/>
      <c r="Y85" s="231" t="s">
        <v>194</v>
      </c>
      <c r="Z85" s="61"/>
      <c r="AA85" s="1">
        <v>14003</v>
      </c>
    </row>
    <row r="86" spans="1:38" ht="14" customHeight="1" x14ac:dyDescent="0.35">
      <c r="C86" s="230" t="s">
        <v>165</v>
      </c>
      <c r="D86" s="240"/>
      <c r="E86" s="241"/>
      <c r="F86" s="269"/>
      <c r="G86" s="241"/>
      <c r="H86" s="270"/>
      <c r="I86" s="241"/>
      <c r="J86" s="241"/>
      <c r="K86" s="241"/>
      <c r="L86" s="241"/>
      <c r="M86" s="241"/>
      <c r="N86" s="241"/>
      <c r="O86" s="271"/>
      <c r="P86" s="248">
        <v>0</v>
      </c>
      <c r="Q86" s="264">
        <f>+'Pastor Karen'!Q40</f>
        <v>19013</v>
      </c>
      <c r="R86" s="228">
        <f>+P86-Q86</f>
        <v>-19013</v>
      </c>
      <c r="S86" s="229">
        <f t="shared" si="21"/>
        <v>-1</v>
      </c>
      <c r="T86" s="230"/>
      <c r="U86" s="227">
        <v>11091.15</v>
      </c>
      <c r="V86" s="248">
        <v>15844.2</v>
      </c>
      <c r="W86" s="229">
        <f t="shared" si="22"/>
        <v>-0.29998674593857694</v>
      </c>
      <c r="X86" s="928"/>
      <c r="Y86" s="231"/>
      <c r="Z86" s="65" t="s">
        <v>139</v>
      </c>
      <c r="AA86" s="2"/>
    </row>
    <row r="87" spans="1:38" ht="14.4" hidden="1" customHeight="1" x14ac:dyDescent="0.35">
      <c r="C87" s="230" t="s">
        <v>167</v>
      </c>
      <c r="D87" s="240"/>
      <c r="E87" s="241"/>
      <c r="F87" s="241"/>
      <c r="G87" s="241"/>
      <c r="H87" s="272"/>
      <c r="I87" s="241"/>
      <c r="J87" s="241"/>
      <c r="K87" s="241"/>
      <c r="L87" s="241"/>
      <c r="M87" s="241"/>
      <c r="N87" s="241"/>
      <c r="O87" s="273"/>
      <c r="P87" s="248">
        <v>0</v>
      </c>
      <c r="Q87" s="248">
        <v>0</v>
      </c>
      <c r="R87" s="228">
        <f>+P87-Q87</f>
        <v>0</v>
      </c>
      <c r="S87" s="229" t="str">
        <f t="shared" si="21"/>
        <v>NA</v>
      </c>
      <c r="T87" s="230"/>
      <c r="U87" s="227">
        <v>0</v>
      </c>
      <c r="V87" s="248">
        <v>0</v>
      </c>
      <c r="W87" s="229" t="str">
        <f t="shared" si="22"/>
        <v>NA</v>
      </c>
      <c r="X87" s="928"/>
      <c r="Y87" s="231" t="s">
        <v>294</v>
      </c>
      <c r="Z87" s="65" t="s">
        <v>139</v>
      </c>
      <c r="AA87" s="1">
        <v>2342</v>
      </c>
    </row>
    <row r="88" spans="1:38" ht="14.4" customHeight="1" x14ac:dyDescent="0.35">
      <c r="A88" s="42">
        <v>83</v>
      </c>
      <c r="C88" s="230" t="s">
        <v>166</v>
      </c>
      <c r="D88" s="240"/>
      <c r="E88" s="262"/>
      <c r="F88" s="272"/>
      <c r="G88" s="262"/>
      <c r="H88" s="272"/>
      <c r="I88" s="262"/>
      <c r="J88" s="272"/>
      <c r="K88" s="275"/>
      <c r="L88" s="241"/>
      <c r="M88" s="241"/>
      <c r="N88" s="241"/>
      <c r="O88" s="271"/>
      <c r="P88" s="248">
        <v>0</v>
      </c>
      <c r="Q88" s="264">
        <f>+'Pastor Karen'!Q51</f>
        <v>1859</v>
      </c>
      <c r="R88" s="228">
        <f t="shared" si="20"/>
        <v>-1859</v>
      </c>
      <c r="S88" s="229">
        <f t="shared" si="21"/>
        <v>-1</v>
      </c>
      <c r="T88" s="230"/>
      <c r="U88" s="227">
        <v>1084.51</v>
      </c>
      <c r="V88" s="248">
        <v>1549.2</v>
      </c>
      <c r="W88" s="229">
        <f t="shared" si="22"/>
        <v>-0.2999548153885877</v>
      </c>
      <c r="X88" s="928"/>
      <c r="Y88" s="274" t="s">
        <v>562</v>
      </c>
      <c r="Z88" s="65" t="s">
        <v>139</v>
      </c>
    </row>
    <row r="89" spans="1:38" x14ac:dyDescent="0.35">
      <c r="C89" s="230" t="s">
        <v>103</v>
      </c>
      <c r="D89" s="240"/>
      <c r="E89" s="241"/>
      <c r="F89" s="241"/>
      <c r="G89" s="241"/>
      <c r="H89" s="241"/>
      <c r="I89" s="241"/>
      <c r="J89" s="241"/>
      <c r="K89" s="241"/>
      <c r="L89" s="241"/>
      <c r="M89" s="241"/>
      <c r="N89" s="241"/>
      <c r="O89" s="271"/>
      <c r="P89" s="248">
        <v>0</v>
      </c>
      <c r="Q89" s="271">
        <f>+'Pastor Karen'!Q57</f>
        <v>600</v>
      </c>
      <c r="R89" s="228">
        <f t="shared" si="20"/>
        <v>-600</v>
      </c>
      <c r="S89" s="229">
        <f t="shared" si="21"/>
        <v>-1</v>
      </c>
      <c r="T89" s="230"/>
      <c r="U89" s="227">
        <v>25.8</v>
      </c>
      <c r="V89" s="227">
        <v>500</v>
      </c>
      <c r="W89" s="229">
        <f t="shared" si="22"/>
        <v>-0.94840000000000002</v>
      </c>
      <c r="X89" s="928"/>
      <c r="Y89" s="231" t="s">
        <v>164</v>
      </c>
      <c r="Z89" s="61"/>
    </row>
    <row r="90" spans="1:38" x14ac:dyDescent="0.35">
      <c r="C90" s="230" t="s">
        <v>205</v>
      </c>
      <c r="D90" s="240"/>
      <c r="E90" s="241"/>
      <c r="F90" s="242"/>
      <c r="G90" s="242"/>
      <c r="H90" s="242"/>
      <c r="I90" s="242"/>
      <c r="J90" s="242"/>
      <c r="K90" s="242"/>
      <c r="L90" s="242"/>
      <c r="M90" s="242"/>
      <c r="N90" s="242"/>
      <c r="O90" s="276"/>
      <c r="P90" s="248">
        <v>0</v>
      </c>
      <c r="Q90" s="271">
        <f>+'Pastor Karen'!Q58</f>
        <v>480</v>
      </c>
      <c r="R90" s="228">
        <f>+P90-Q90</f>
        <v>-480</v>
      </c>
      <c r="S90" s="229">
        <f t="shared" si="21"/>
        <v>-1</v>
      </c>
      <c r="T90" s="230"/>
      <c r="U90" s="227">
        <v>250</v>
      </c>
      <c r="V90" s="227">
        <v>360</v>
      </c>
      <c r="W90" s="229">
        <f t="shared" si="22"/>
        <v>-0.30555555555555558</v>
      </c>
      <c r="X90" s="928"/>
      <c r="Y90" s="231" t="s">
        <v>214</v>
      </c>
      <c r="Z90" s="61"/>
    </row>
    <row r="91" spans="1:38" x14ac:dyDescent="0.35">
      <c r="A91" s="42">
        <v>85</v>
      </c>
      <c r="C91" s="235" t="s">
        <v>37</v>
      </c>
      <c r="D91" s="243"/>
      <c r="E91" s="244"/>
      <c r="F91" s="245"/>
      <c r="G91" s="245"/>
      <c r="H91" s="245"/>
      <c r="I91" s="245"/>
      <c r="J91" s="245"/>
      <c r="K91" s="245"/>
      <c r="L91" s="245"/>
      <c r="M91" s="245"/>
      <c r="N91" s="245"/>
      <c r="O91" s="277"/>
      <c r="P91" s="249">
        <v>0</v>
      </c>
      <c r="Q91" s="385">
        <f>+'Pastor Karen'!Q55</f>
        <v>1300</v>
      </c>
      <c r="R91" s="233">
        <f t="shared" si="20"/>
        <v>-1300</v>
      </c>
      <c r="S91" s="234">
        <f t="shared" si="21"/>
        <v>-1</v>
      </c>
      <c r="T91" s="235"/>
      <c r="U91" s="232">
        <v>95</v>
      </c>
      <c r="V91" s="232">
        <v>1083.3</v>
      </c>
      <c r="W91" s="234">
        <f t="shared" si="22"/>
        <v>-0.91230499399981535</v>
      </c>
      <c r="X91" s="923"/>
      <c r="Y91" s="236" t="s">
        <v>543</v>
      </c>
      <c r="Z91" s="61"/>
      <c r="AE91" s="379">
        <v>0.4</v>
      </c>
      <c r="AF91" s="379">
        <v>0.15</v>
      </c>
      <c r="AG91" s="379">
        <v>0.4</v>
      </c>
      <c r="AH91" s="379">
        <v>0.05</v>
      </c>
      <c r="AI91" s="34">
        <f>+AE91</f>
        <v>0.4</v>
      </c>
      <c r="AJ91" s="34">
        <f>+AF91</f>
        <v>0.15</v>
      </c>
      <c r="AK91" s="34">
        <f>+AG91</f>
        <v>0.4</v>
      </c>
      <c r="AL91" s="34">
        <f>+AH91</f>
        <v>0.05</v>
      </c>
    </row>
    <row r="92" spans="1:38" s="2" customFormat="1" x14ac:dyDescent="0.35">
      <c r="A92" s="42">
        <v>86</v>
      </c>
      <c r="B92" s="23" t="s">
        <v>148</v>
      </c>
      <c r="C92" s="23"/>
      <c r="D92" s="23"/>
      <c r="E92" s="85"/>
      <c r="F92" s="85"/>
      <c r="G92" s="85"/>
      <c r="H92" s="85"/>
      <c r="I92" s="85"/>
      <c r="J92" s="85"/>
      <c r="K92" s="85"/>
      <c r="L92" s="85"/>
      <c r="M92" s="85"/>
      <c r="N92" s="85"/>
      <c r="O92" s="23"/>
      <c r="P92" s="23">
        <f>SUM(P81:P91)</f>
        <v>0</v>
      </c>
      <c r="Q92" s="23">
        <f>SUM(Q81:Q91)</f>
        <v>109256</v>
      </c>
      <c r="R92" s="23">
        <f>SUM(R81:R91)</f>
        <v>-109256</v>
      </c>
      <c r="S92" s="24">
        <f t="shared" si="21"/>
        <v>-1</v>
      </c>
      <c r="U92" s="23">
        <f>SUM(U81:U91)</f>
        <v>61841.200000000012</v>
      </c>
      <c r="V92" s="23">
        <f>SUM(V81:V91)</f>
        <v>91006.7</v>
      </c>
      <c r="W92" s="24">
        <f t="shared" si="22"/>
        <v>-0.32047640448450482</v>
      </c>
      <c r="X92" s="33"/>
      <c r="Y92" s="71"/>
      <c r="Z92" s="60"/>
      <c r="AA92" s="1"/>
      <c r="AE92" s="2">
        <f>+$P92*AE91</f>
        <v>0</v>
      </c>
      <c r="AF92" s="2">
        <f>+$P92*AF91</f>
        <v>0</v>
      </c>
      <c r="AG92" s="2">
        <f>+$P92*AG91</f>
        <v>0</v>
      </c>
      <c r="AH92" s="2">
        <f>+$P92*AH91</f>
        <v>0</v>
      </c>
      <c r="AI92" s="2">
        <f>+U92*AI91</f>
        <v>24736.480000000007</v>
      </c>
      <c r="AJ92" s="2">
        <f>+U92*AJ91</f>
        <v>9276.1800000000021</v>
      </c>
      <c r="AK92" s="2">
        <f>+U92*AK91</f>
        <v>24736.480000000007</v>
      </c>
      <c r="AL92" s="2">
        <f>+V92*AL91</f>
        <v>4550.335</v>
      </c>
    </row>
    <row r="93" spans="1:38" ht="19.5" customHeight="1" x14ac:dyDescent="0.35">
      <c r="A93" s="42">
        <v>80</v>
      </c>
      <c r="B93" s="868" t="s">
        <v>285</v>
      </c>
      <c r="D93" s="853" t="s">
        <v>357</v>
      </c>
      <c r="F93" s="429"/>
      <c r="G93" s="1182"/>
      <c r="H93" s="1182"/>
      <c r="R93" s="118"/>
      <c r="S93" s="38"/>
      <c r="U93" s="119"/>
      <c r="V93" s="34"/>
      <c r="W93" s="38"/>
      <c r="X93" s="66" t="s">
        <v>666</v>
      </c>
      <c r="Y93" s="61"/>
      <c r="Z93" s="57"/>
    </row>
    <row r="94" spans="1:38" ht="14.5" customHeight="1" x14ac:dyDescent="0.35">
      <c r="A94" s="42">
        <v>81</v>
      </c>
      <c r="C94" s="225" t="s">
        <v>171</v>
      </c>
      <c r="D94" s="237"/>
      <c r="E94" s="238"/>
      <c r="F94" s="251"/>
      <c r="G94" s="341"/>
      <c r="H94" s="252"/>
      <c r="I94" s="253"/>
      <c r="J94" s="238"/>
      <c r="K94" s="253"/>
      <c r="L94" s="254"/>
      <c r="M94" s="255"/>
      <c r="N94" s="255"/>
      <c r="O94" s="237"/>
      <c r="P94" s="256">
        <f>+'Assoc. Pastor'!L12</f>
        <v>64553</v>
      </c>
      <c r="Q94" s="256">
        <f>+'Assoc. Pastor'!I16</f>
        <v>66953</v>
      </c>
      <c r="R94" s="223">
        <f t="shared" ref="R94:R103" si="23">+P94-Q94</f>
        <v>-2400</v>
      </c>
      <c r="S94" s="224">
        <f t="shared" ref="S94:S104" si="24">IF(Q94=0,"NA",(+P94-Q94)/Q94)</f>
        <v>-3.5846041252819143E-2</v>
      </c>
      <c r="T94" s="225"/>
      <c r="U94" s="222">
        <f>39127.6+16666.8</f>
        <v>55794.399999999994</v>
      </c>
      <c r="V94" s="222">
        <f>39127.5+16666.7</f>
        <v>55794.2</v>
      </c>
      <c r="W94" s="224">
        <f t="shared" ref="W94:W104" si="25">IF(V94=0,"NA",(+U94-V94)/V94)</f>
        <v>3.5846019836665752E-6</v>
      </c>
      <c r="X94" s="1017" t="s">
        <v>665</v>
      </c>
      <c r="Y94" s="790" t="s">
        <v>544</v>
      </c>
      <c r="Z94" s="61" t="s">
        <v>127</v>
      </c>
    </row>
    <row r="95" spans="1:38" x14ac:dyDescent="0.35">
      <c r="A95" s="42">
        <v>82</v>
      </c>
      <c r="C95" s="230" t="s">
        <v>36</v>
      </c>
      <c r="D95" s="240"/>
      <c r="E95" s="241"/>
      <c r="F95" s="257"/>
      <c r="G95" s="258"/>
      <c r="H95" s="259"/>
      <c r="I95" s="260"/>
      <c r="J95" s="241"/>
      <c r="K95" s="261"/>
      <c r="L95" s="241"/>
      <c r="M95" s="262"/>
      <c r="N95" s="262"/>
      <c r="O95" s="263"/>
      <c r="P95" s="264">
        <f>+'Assoc. Pastor'!L47</f>
        <v>1200</v>
      </c>
      <c r="Q95" s="264">
        <f>+'Assoc. Pastor'!I47</f>
        <v>1200</v>
      </c>
      <c r="R95" s="228">
        <f t="shared" si="23"/>
        <v>0</v>
      </c>
      <c r="S95" s="229">
        <f t="shared" si="24"/>
        <v>0</v>
      </c>
      <c r="T95" s="230"/>
      <c r="U95" s="227">
        <v>218</v>
      </c>
      <c r="V95" s="227">
        <v>1000</v>
      </c>
      <c r="W95" s="229">
        <f t="shared" si="25"/>
        <v>-0.78200000000000003</v>
      </c>
      <c r="X95" s="928"/>
      <c r="Y95" s="231" t="s">
        <v>163</v>
      </c>
      <c r="Z95" s="61"/>
    </row>
    <row r="96" spans="1:38" ht="14.5" customHeight="1" x14ac:dyDescent="0.35">
      <c r="C96" s="230" t="s">
        <v>288</v>
      </c>
      <c r="D96" s="240"/>
      <c r="E96" s="241"/>
      <c r="F96" s="257"/>
      <c r="G96" s="258"/>
      <c r="H96" s="241"/>
      <c r="I96" s="241"/>
      <c r="J96" s="259"/>
      <c r="K96" s="241"/>
      <c r="L96" s="241"/>
      <c r="M96" s="241"/>
      <c r="N96" s="241"/>
      <c r="O96" s="263"/>
      <c r="P96" s="264">
        <f>+'Assoc. Pastor'!L19</f>
        <v>4938</v>
      </c>
      <c r="Q96" s="264">
        <f>+'Assoc. Pastor'!I19</f>
        <v>5122</v>
      </c>
      <c r="R96" s="228">
        <f t="shared" si="23"/>
        <v>-184</v>
      </c>
      <c r="S96" s="229">
        <f t="shared" si="24"/>
        <v>-3.5923467395548615E-2</v>
      </c>
      <c r="T96" s="230"/>
      <c r="U96" s="227">
        <v>4268.3999999999996</v>
      </c>
      <c r="V96" s="227">
        <v>4268.3</v>
      </c>
      <c r="W96" s="229">
        <f t="shared" si="25"/>
        <v>2.3428531265247123E-5</v>
      </c>
      <c r="X96" s="928"/>
      <c r="Y96" s="231" t="s">
        <v>212</v>
      </c>
      <c r="Z96" s="61"/>
      <c r="AB96" s="421"/>
    </row>
    <row r="97" spans="1:37" ht="14" customHeight="1" x14ac:dyDescent="0.35">
      <c r="C97" s="230" t="s">
        <v>165</v>
      </c>
      <c r="D97" s="240"/>
      <c r="E97" s="241"/>
      <c r="F97" s="269"/>
      <c r="G97" s="241"/>
      <c r="H97" s="270"/>
      <c r="I97" s="241"/>
      <c r="J97" s="241"/>
      <c r="K97" s="241"/>
      <c r="L97" s="241"/>
      <c r="M97" s="241"/>
      <c r="N97" s="241"/>
      <c r="O97" s="271"/>
      <c r="P97" s="264">
        <f>+'Assoc. Pastor'!L38</f>
        <v>6949</v>
      </c>
      <c r="Q97" s="264">
        <f>+'Assoc. Pastor'!I38</f>
        <v>11532</v>
      </c>
      <c r="R97" s="228">
        <f t="shared" si="23"/>
        <v>-4583</v>
      </c>
      <c r="S97" s="229">
        <f t="shared" si="24"/>
        <v>-0.39741588622962193</v>
      </c>
      <c r="T97" s="230"/>
      <c r="U97" s="227">
        <v>9610</v>
      </c>
      <c r="V97" s="248">
        <v>9610</v>
      </c>
      <c r="W97" s="229">
        <f t="shared" si="25"/>
        <v>0</v>
      </c>
      <c r="X97" s="928"/>
      <c r="Y97" s="231"/>
      <c r="Z97" s="65" t="s">
        <v>139</v>
      </c>
    </row>
    <row r="98" spans="1:37" ht="14.4" customHeight="1" x14ac:dyDescent="0.35">
      <c r="C98" s="230" t="s">
        <v>289</v>
      </c>
      <c r="D98" s="240"/>
      <c r="E98" s="241"/>
      <c r="F98" s="241"/>
      <c r="G98" s="241"/>
      <c r="H98" s="272"/>
      <c r="I98" s="241"/>
      <c r="J98" s="241"/>
      <c r="K98" s="241"/>
      <c r="L98" s="241"/>
      <c r="M98" s="241"/>
      <c r="N98" s="241"/>
      <c r="O98" s="273"/>
      <c r="P98" s="264">
        <f>+'Assoc. Pastor'!L25</f>
        <v>20040</v>
      </c>
      <c r="Q98" s="248">
        <v>0</v>
      </c>
      <c r="R98" s="228">
        <f t="shared" si="23"/>
        <v>20040</v>
      </c>
      <c r="S98" s="229" t="str">
        <f t="shared" si="24"/>
        <v>NA</v>
      </c>
      <c r="T98" s="230"/>
      <c r="U98" s="227">
        <v>0</v>
      </c>
      <c r="V98" s="248">
        <v>0</v>
      </c>
      <c r="W98" s="229" t="str">
        <f t="shared" si="25"/>
        <v>NA</v>
      </c>
      <c r="X98" s="1015"/>
      <c r="Y98" s="231" t="s">
        <v>358</v>
      </c>
      <c r="Z98" s="65"/>
      <c r="AA98" s="2"/>
    </row>
    <row r="99" spans="1:37" ht="14.4" customHeight="1" x14ac:dyDescent="0.35">
      <c r="A99" s="42">
        <v>83</v>
      </c>
      <c r="C99" s="230" t="s">
        <v>166</v>
      </c>
      <c r="D99" s="240"/>
      <c r="E99" s="262"/>
      <c r="F99" s="272"/>
      <c r="G99" s="262"/>
      <c r="H99" s="272"/>
      <c r="I99" s="262"/>
      <c r="J99" s="272"/>
      <c r="K99" s="275"/>
      <c r="L99" s="241"/>
      <c r="M99" s="241"/>
      <c r="N99" s="241"/>
      <c r="O99" s="271"/>
      <c r="P99" s="264">
        <f>+'Assoc. Pastor'!L45</f>
        <v>1529</v>
      </c>
      <c r="Q99" s="264">
        <f>+'Assoc. Pastor'!I45</f>
        <v>1586</v>
      </c>
      <c r="R99" s="228">
        <f t="shared" si="23"/>
        <v>-57</v>
      </c>
      <c r="S99" s="229">
        <f t="shared" si="24"/>
        <v>-3.5939470365699874E-2</v>
      </c>
      <c r="T99" s="230"/>
      <c r="U99" s="227">
        <v>1321.4</v>
      </c>
      <c r="V99" s="248">
        <v>1321.7</v>
      </c>
      <c r="W99" s="229">
        <f t="shared" si="25"/>
        <v>-2.2698040402508476E-4</v>
      </c>
      <c r="X99" s="928"/>
      <c r="Y99" s="274" t="s">
        <v>562</v>
      </c>
      <c r="Z99" s="65" t="s">
        <v>139</v>
      </c>
    </row>
    <row r="100" spans="1:37" x14ac:dyDescent="0.35">
      <c r="C100" s="230" t="s">
        <v>103</v>
      </c>
      <c r="D100" s="240"/>
      <c r="E100" s="241"/>
      <c r="F100" s="241"/>
      <c r="G100" s="241"/>
      <c r="H100" s="241"/>
      <c r="I100" s="241"/>
      <c r="J100" s="241"/>
      <c r="K100" s="241"/>
      <c r="L100" s="241"/>
      <c r="M100" s="241"/>
      <c r="N100" s="241"/>
      <c r="O100" s="271"/>
      <c r="P100" s="264">
        <f>+'Assoc. Pastor'!L51</f>
        <v>600</v>
      </c>
      <c r="Q100" s="264">
        <f>+'Assoc. Pastor'!I51</f>
        <v>600</v>
      </c>
      <c r="R100" s="228">
        <f t="shared" si="23"/>
        <v>0</v>
      </c>
      <c r="S100" s="229">
        <f t="shared" si="24"/>
        <v>0</v>
      </c>
      <c r="T100" s="230"/>
      <c r="U100" s="227">
        <v>0</v>
      </c>
      <c r="V100" s="227">
        <v>500</v>
      </c>
      <c r="W100" s="229">
        <f t="shared" si="25"/>
        <v>-1</v>
      </c>
      <c r="X100" s="928"/>
      <c r="Y100" s="231" t="s">
        <v>163</v>
      </c>
      <c r="Z100" s="61"/>
    </row>
    <row r="101" spans="1:37" x14ac:dyDescent="0.35">
      <c r="C101" s="230" t="s">
        <v>205</v>
      </c>
      <c r="D101" s="240"/>
      <c r="E101" s="241"/>
      <c r="F101" s="242"/>
      <c r="G101" s="242"/>
      <c r="H101" s="242"/>
      <c r="I101" s="242"/>
      <c r="J101" s="242"/>
      <c r="K101" s="242"/>
      <c r="L101" s="242"/>
      <c r="M101" s="242"/>
      <c r="N101" s="242"/>
      <c r="O101" s="276"/>
      <c r="P101" s="264">
        <f>+'Assoc. Pastor'!L52</f>
        <v>480</v>
      </c>
      <c r="Q101" s="264">
        <f>+'Assoc. Pastor'!I52</f>
        <v>480</v>
      </c>
      <c r="R101" s="228">
        <f t="shared" si="23"/>
        <v>0</v>
      </c>
      <c r="S101" s="229">
        <f t="shared" si="24"/>
        <v>0</v>
      </c>
      <c r="T101" s="230"/>
      <c r="U101" s="227">
        <v>375</v>
      </c>
      <c r="V101" s="227">
        <v>360</v>
      </c>
      <c r="W101" s="229">
        <f t="shared" si="25"/>
        <v>4.1666666666666664E-2</v>
      </c>
      <c r="X101" s="928" t="s">
        <v>697</v>
      </c>
      <c r="Y101" s="231" t="s">
        <v>214</v>
      </c>
      <c r="Z101" s="61"/>
    </row>
    <row r="102" spans="1:37" x14ac:dyDescent="0.35">
      <c r="A102" s="42">
        <v>85</v>
      </c>
      <c r="C102" s="230" t="s">
        <v>37</v>
      </c>
      <c r="D102" s="240"/>
      <c r="E102" s="241"/>
      <c r="F102" s="242"/>
      <c r="G102" s="242"/>
      <c r="H102" s="242"/>
      <c r="I102" s="242"/>
      <c r="J102" s="242"/>
      <c r="K102" s="242"/>
      <c r="L102" s="242"/>
      <c r="M102" s="242"/>
      <c r="N102" s="242"/>
      <c r="O102" s="280"/>
      <c r="P102" s="264">
        <f>+'Assoc. Pastor'!L48</f>
        <v>1300</v>
      </c>
      <c r="Q102" s="264">
        <f>+'Assoc. Pastor'!I48</f>
        <v>1300</v>
      </c>
      <c r="R102" s="228">
        <f t="shared" si="23"/>
        <v>0</v>
      </c>
      <c r="S102" s="229">
        <f t="shared" si="24"/>
        <v>0</v>
      </c>
      <c r="T102" s="230"/>
      <c r="U102" s="227">
        <v>678</v>
      </c>
      <c r="V102" s="227">
        <v>1083.3</v>
      </c>
      <c r="W102" s="229">
        <f t="shared" si="25"/>
        <v>-0.37413458875657712</v>
      </c>
      <c r="X102" s="928"/>
      <c r="Y102" s="231" t="s">
        <v>163</v>
      </c>
      <c r="Z102" s="61"/>
      <c r="AE102" s="379">
        <v>0.4</v>
      </c>
      <c r="AF102" s="379">
        <v>0.4</v>
      </c>
      <c r="AG102" s="379">
        <v>0.2</v>
      </c>
      <c r="AI102" s="34">
        <f>+AE102</f>
        <v>0.4</v>
      </c>
      <c r="AJ102" s="34">
        <f>+AF102</f>
        <v>0.4</v>
      </c>
      <c r="AK102" s="34">
        <f>+AG102</f>
        <v>0.2</v>
      </c>
    </row>
    <row r="103" spans="1:37" hidden="1" x14ac:dyDescent="0.35">
      <c r="C103" s="230" t="s">
        <v>284</v>
      </c>
      <c r="D103" s="240"/>
      <c r="E103" s="241"/>
      <c r="F103" s="242"/>
      <c r="G103" s="242"/>
      <c r="H103" s="242"/>
      <c r="I103" s="242"/>
      <c r="J103" s="242"/>
      <c r="K103" s="242"/>
      <c r="L103" s="242"/>
      <c r="M103" s="242"/>
      <c r="N103" s="242"/>
      <c r="O103" s="280"/>
      <c r="P103" s="264">
        <f>+'Assoc. Pastor'!I53</f>
        <v>0</v>
      </c>
      <c r="Q103" s="264">
        <f>+'Assoc. Pastor'!E53</f>
        <v>0</v>
      </c>
      <c r="R103" s="228">
        <f t="shared" si="23"/>
        <v>0</v>
      </c>
      <c r="S103" s="229" t="str">
        <f t="shared" si="24"/>
        <v>NA</v>
      </c>
      <c r="T103" s="230"/>
      <c r="U103" s="227">
        <v>0</v>
      </c>
      <c r="V103" s="227">
        <v>0</v>
      </c>
      <c r="W103" s="229" t="str">
        <f t="shared" si="25"/>
        <v>NA</v>
      </c>
      <c r="X103" s="928"/>
      <c r="Y103" s="231" t="s">
        <v>359</v>
      </c>
      <c r="Z103" s="61"/>
      <c r="AE103" s="379"/>
      <c r="AF103" s="379"/>
      <c r="AG103" s="379"/>
      <c r="AI103" s="34"/>
      <c r="AJ103" s="34"/>
      <c r="AK103" s="34"/>
    </row>
    <row r="104" spans="1:37" s="2" customFormat="1" x14ac:dyDescent="0.35">
      <c r="A104" s="42">
        <v>86</v>
      </c>
      <c r="B104" s="23" t="s">
        <v>286</v>
      </c>
      <c r="C104" s="23"/>
      <c r="D104" s="23"/>
      <c r="E104" s="85"/>
      <c r="F104" s="85"/>
      <c r="G104" s="85"/>
      <c r="H104" s="85"/>
      <c r="I104" s="85"/>
      <c r="J104" s="85"/>
      <c r="K104" s="85"/>
      <c r="L104" s="85"/>
      <c r="M104" s="85"/>
      <c r="N104" s="85"/>
      <c r="O104" s="23"/>
      <c r="P104" s="23">
        <f>SUM(P94:P103)</f>
        <v>101589</v>
      </c>
      <c r="Q104" s="23">
        <f>SUM(Q94:Q103)</f>
        <v>88773</v>
      </c>
      <c r="R104" s="23">
        <f>SUM(R94:R103)</f>
        <v>12816</v>
      </c>
      <c r="S104" s="24">
        <f t="shared" si="24"/>
        <v>0.14436822006691225</v>
      </c>
      <c r="U104" s="23">
        <f>SUM(U94:U103)</f>
        <v>72265.199999999983</v>
      </c>
      <c r="V104" s="23">
        <f>SUM(V94:V103)</f>
        <v>73937.5</v>
      </c>
      <c r="W104" s="24">
        <f t="shared" si="25"/>
        <v>-2.2617751479290175E-2</v>
      </c>
      <c r="X104" s="33"/>
      <c r="Y104" s="71"/>
      <c r="Z104" s="60"/>
      <c r="AA104" s="1"/>
      <c r="AE104" s="2">
        <f>+$P104*AE102</f>
        <v>40635.600000000006</v>
      </c>
      <c r="AF104" s="2">
        <f>+$P104*AF102</f>
        <v>40635.600000000006</v>
      </c>
      <c r="AG104" s="2">
        <f>+$P104*AG102</f>
        <v>20317.800000000003</v>
      </c>
      <c r="AI104" s="2">
        <f>+U104*AI102</f>
        <v>28906.079999999994</v>
      </c>
      <c r="AJ104" s="2">
        <f>+U104*AJ102</f>
        <v>28906.079999999994</v>
      </c>
      <c r="AK104" s="2">
        <f>+U104*AK102</f>
        <v>14453.039999999997</v>
      </c>
    </row>
    <row r="105" spans="1:37" s="852" customFormat="1" ht="19.5" customHeight="1" x14ac:dyDescent="0.35">
      <c r="A105" s="851">
        <v>93</v>
      </c>
      <c r="B105" s="868" t="s">
        <v>457</v>
      </c>
      <c r="D105" s="853"/>
      <c r="E105" s="854"/>
      <c r="F105" s="855"/>
      <c r="G105" s="855"/>
      <c r="H105" s="855"/>
      <c r="I105" s="855"/>
      <c r="J105" s="855"/>
      <c r="K105" s="855"/>
      <c r="L105" s="855"/>
      <c r="M105" s="855"/>
      <c r="N105" s="855"/>
      <c r="S105" s="855"/>
      <c r="W105" s="855"/>
      <c r="X105" s="926"/>
      <c r="Y105" s="856"/>
      <c r="Z105" s="857"/>
    </row>
    <row r="106" spans="1:37" ht="14.5" customHeight="1" x14ac:dyDescent="0.35">
      <c r="A106" s="42">
        <v>95</v>
      </c>
      <c r="C106" s="389" t="s">
        <v>40</v>
      </c>
      <c r="D106" s="390"/>
      <c r="E106" s="791">
        <v>2</v>
      </c>
      <c r="F106" s="844">
        <f>ROUND(+J106*(1+H106),2)</f>
        <v>10</v>
      </c>
      <c r="G106" s="791">
        <v>40</v>
      </c>
      <c r="H106" s="845">
        <v>0</v>
      </c>
      <c r="I106" s="791">
        <v>4</v>
      </c>
      <c r="J106" s="792">
        <v>10</v>
      </c>
      <c r="K106" s="791">
        <v>40</v>
      </c>
      <c r="L106" s="395">
        <f>IF(M106=0,0,(+J106-M106)/M106)</f>
        <v>0</v>
      </c>
      <c r="M106" s="793">
        <v>10</v>
      </c>
      <c r="N106" s="793"/>
      <c r="O106" s="389"/>
      <c r="P106" s="397">
        <v>0</v>
      </c>
      <c r="Q106" s="397">
        <v>800</v>
      </c>
      <c r="R106" s="394">
        <f>+P106-Q106</f>
        <v>-800</v>
      </c>
      <c r="S106" s="395">
        <f>IF(Q106=0,"NA",(+P106-Q106)/Q106)</f>
        <v>-1</v>
      </c>
      <c r="T106" s="389"/>
      <c r="U106" s="397">
        <v>58.34</v>
      </c>
      <c r="V106" s="393">
        <v>622.23</v>
      </c>
      <c r="W106" s="395">
        <f>IF(V106=0,"NA",(+U106-V106)/V106)</f>
        <v>-0.90624045770856432</v>
      </c>
      <c r="X106" s="1028" t="s">
        <v>711</v>
      </c>
      <c r="Y106" s="846" t="str">
        <f>Bud_Yr&amp;":  avg "&amp;E106&amp;" hrs/week at $"&amp;F106&amp;"/hr ("&amp;ROUND(H106*100,1)&amp;"% incr.) for "&amp;G106&amp;" wks (Sept-May, excluding Lent) x 2 people.  "&amp;Bud_Yr-1&amp;":  avg "&amp;I106&amp;" hrs/wk at $"&amp;J106&amp;"/hr ("&amp;ROUND(L106*100,1)&amp;"% incr.) for "&amp;K106&amp;" wks."</f>
        <v>2023:  avg 2 hrs/week at $10/hr (0% incr.) for 40 wks (Sept-May, excluding Lent) x 2 people.  2022:  avg 4 hrs/wk at $10/hr (0% incr.) for 40 wks.</v>
      </c>
      <c r="Z106" s="1" t="s">
        <v>115</v>
      </c>
      <c r="AF106" s="1">
        <f>+$P106</f>
        <v>0</v>
      </c>
      <c r="AJ106" s="1">
        <f>+$U106</f>
        <v>58.34</v>
      </c>
    </row>
    <row r="107" spans="1:37" ht="14.5" customHeight="1" x14ac:dyDescent="0.35">
      <c r="C107" s="389" t="s">
        <v>705</v>
      </c>
      <c r="D107" s="390"/>
      <c r="E107" s="791"/>
      <c r="F107" s="844"/>
      <c r="G107" s="791"/>
      <c r="H107" s="845"/>
      <c r="I107" s="791"/>
      <c r="J107" s="792"/>
      <c r="K107" s="791"/>
      <c r="L107" s="395"/>
      <c r="M107" s="793"/>
      <c r="N107" s="793"/>
      <c r="O107" s="389"/>
      <c r="P107" s="397">
        <v>25000</v>
      </c>
      <c r="Q107" s="397">
        <v>0</v>
      </c>
      <c r="R107" s="394">
        <f>+P107-Q107</f>
        <v>25000</v>
      </c>
      <c r="S107" s="395" t="str">
        <f>IF(Q107=0,"NA",(+P107-Q107)/Q107)</f>
        <v>NA</v>
      </c>
      <c r="T107" s="389"/>
      <c r="U107" s="397">
        <v>0</v>
      </c>
      <c r="V107" s="393">
        <v>0</v>
      </c>
      <c r="W107" s="395" t="str">
        <f>IF(V107=0,"NA",(+U107-V107)/V107)</f>
        <v>NA</v>
      </c>
      <c r="X107" s="1028" t="s">
        <v>733</v>
      </c>
      <c r="Y107" s="846"/>
      <c r="Z107" s="1"/>
    </row>
    <row r="108" spans="1:37" s="2" customFormat="1" x14ac:dyDescent="0.35">
      <c r="A108" s="42">
        <v>96</v>
      </c>
      <c r="B108" s="23" t="s">
        <v>458</v>
      </c>
      <c r="C108" s="23"/>
      <c r="D108" s="23"/>
      <c r="E108" s="85"/>
      <c r="F108" s="85"/>
      <c r="G108" s="85"/>
      <c r="H108" s="85"/>
      <c r="I108" s="85"/>
      <c r="J108" s="85"/>
      <c r="K108" s="85"/>
      <c r="L108" s="85"/>
      <c r="M108" s="85"/>
      <c r="N108" s="85"/>
      <c r="O108" s="23"/>
      <c r="P108" s="23">
        <f>SUM(P106:P107)</f>
        <v>25000</v>
      </c>
      <c r="Q108" s="23">
        <f>SUM(Q106:Q107)</f>
        <v>800</v>
      </c>
      <c r="R108" s="23">
        <f>SUM(R106:R107)</f>
        <v>24200</v>
      </c>
      <c r="S108" s="24">
        <f>IF(Q108=0,"NA",(+P108-Q108)/Q108)</f>
        <v>30.25</v>
      </c>
      <c r="U108" s="23">
        <f>SUM(U106:U107)</f>
        <v>58.34</v>
      </c>
      <c r="V108" s="23">
        <f>SUM(V106:V107)</f>
        <v>622.23</v>
      </c>
      <c r="W108" s="24">
        <f>IF(V108=0,"NA",(+U108-V108)/V108)</f>
        <v>-0.90624045770856432</v>
      </c>
      <c r="X108" s="33"/>
      <c r="Y108" s="71"/>
      <c r="Z108" s="60"/>
      <c r="AA108" s="1"/>
    </row>
    <row r="109" spans="1:37" ht="19.5" customHeight="1" x14ac:dyDescent="0.35">
      <c r="A109" s="42">
        <v>107</v>
      </c>
      <c r="B109" s="868" t="s">
        <v>42</v>
      </c>
      <c r="Q109" s="25"/>
      <c r="S109" s="4"/>
      <c r="Y109" s="70"/>
      <c r="Z109" s="58"/>
    </row>
    <row r="110" spans="1:37" x14ac:dyDescent="0.35">
      <c r="A110" s="42">
        <v>108</v>
      </c>
      <c r="C110" s="389" t="s">
        <v>105</v>
      </c>
      <c r="D110" s="390"/>
      <c r="E110" s="391"/>
      <c r="F110" s="392"/>
      <c r="G110" s="392"/>
      <c r="H110" s="392"/>
      <c r="I110" s="392"/>
      <c r="J110" s="392"/>
      <c r="K110" s="392"/>
      <c r="L110" s="392"/>
      <c r="M110" s="392"/>
      <c r="N110" s="392"/>
      <c r="O110" s="794"/>
      <c r="P110" s="795">
        <f>ROUND((+Q110)*(1+$F$80),0)</f>
        <v>17299</v>
      </c>
      <c r="Q110" s="393">
        <v>16795</v>
      </c>
      <c r="R110" s="394">
        <f t="shared" ref="R110:R121" si="26">+P110-Q110</f>
        <v>504</v>
      </c>
      <c r="S110" s="395">
        <f t="shared" ref="S110:S122" si="27">IF(Q110=0,"NA",(+P110-Q110)/Q110)</f>
        <v>3.00089312295326E-2</v>
      </c>
      <c r="T110" s="389"/>
      <c r="U110" s="393">
        <v>13996</v>
      </c>
      <c r="V110" s="393">
        <v>13995.8</v>
      </c>
      <c r="W110" s="395">
        <f t="shared" ref="W110:W122" si="28">IF(V110=0,"NA",(+U110-V110)/V110)</f>
        <v>1.4290001286152104E-5</v>
      </c>
      <c r="X110" s="396" t="s">
        <v>418</v>
      </c>
      <c r="Y110" s="396" t="s">
        <v>306</v>
      </c>
      <c r="Z110" s="57" t="s">
        <v>140</v>
      </c>
      <c r="AA110" s="2"/>
      <c r="AE110" s="1">
        <f>+$P110</f>
        <v>17299</v>
      </c>
      <c r="AI110" s="1">
        <f>+$U110</f>
        <v>13996</v>
      </c>
    </row>
    <row r="111" spans="1:37" hidden="1" x14ac:dyDescent="0.35">
      <c r="C111" s="225"/>
      <c r="D111" s="237"/>
      <c r="E111" s="238"/>
      <c r="F111" s="239"/>
      <c r="G111" s="239"/>
      <c r="H111" s="239"/>
      <c r="I111" s="239"/>
      <c r="J111" s="239"/>
      <c r="K111" s="239"/>
      <c r="L111" s="239"/>
      <c r="M111" s="239"/>
      <c r="N111" s="239"/>
      <c r="O111" s="279"/>
      <c r="P111" s="256"/>
      <c r="Q111" s="222"/>
      <c r="R111" s="223"/>
      <c r="S111" s="224"/>
      <c r="T111" s="225"/>
      <c r="U111" s="222"/>
      <c r="V111" s="222"/>
      <c r="W111" s="224"/>
      <c r="X111" s="930"/>
      <c r="Y111" s="790" t="s">
        <v>483</v>
      </c>
      <c r="Z111" s="57"/>
      <c r="AA111" s="2"/>
    </row>
    <row r="112" spans="1:37" x14ac:dyDescent="0.35">
      <c r="C112" s="235" t="s">
        <v>217</v>
      </c>
      <c r="D112" s="243"/>
      <c r="E112" s="244"/>
      <c r="F112" s="245"/>
      <c r="G112" s="245"/>
      <c r="H112" s="245"/>
      <c r="I112" s="245"/>
      <c r="J112" s="245"/>
      <c r="K112" s="245"/>
      <c r="L112" s="245"/>
      <c r="M112" s="245"/>
      <c r="N112" s="245"/>
      <c r="O112" s="277"/>
      <c r="P112" s="278">
        <f>+'Band and Other Music'!G12</f>
        <v>3263</v>
      </c>
      <c r="Q112" s="233">
        <f>+'Band and Other Music'!F12</f>
        <v>3168</v>
      </c>
      <c r="R112" s="233">
        <f>+P112-Q112</f>
        <v>95</v>
      </c>
      <c r="S112" s="234">
        <f>IF(Q112=0,"NA",(+P112-Q112)/Q112)</f>
        <v>2.9987373737373736E-2</v>
      </c>
      <c r="T112" s="235"/>
      <c r="U112" s="232">
        <v>2633.59</v>
      </c>
      <c r="V112" s="232">
        <v>2640</v>
      </c>
      <c r="W112" s="234">
        <f>IF(V112=0,"NA",(+U112-V112)/V112)</f>
        <v>-2.4280303030302479E-3</v>
      </c>
      <c r="X112" s="236" t="s">
        <v>419</v>
      </c>
      <c r="Y112" s="236" t="s">
        <v>498</v>
      </c>
      <c r="Z112" s="57" t="s">
        <v>140</v>
      </c>
      <c r="AE112" s="1">
        <f>+$P112</f>
        <v>3263</v>
      </c>
      <c r="AI112" s="1">
        <f>+$U112</f>
        <v>2633.59</v>
      </c>
    </row>
    <row r="113" spans="1:38" hidden="1" x14ac:dyDescent="0.35">
      <c r="C113" s="225"/>
      <c r="D113" s="237"/>
      <c r="E113" s="238"/>
      <c r="F113" s="239"/>
      <c r="G113" s="239"/>
      <c r="H113" s="239"/>
      <c r="I113" s="239"/>
      <c r="J113" s="239"/>
      <c r="K113" s="239"/>
      <c r="L113" s="239"/>
      <c r="M113" s="239"/>
      <c r="N113" s="239"/>
      <c r="O113" s="279"/>
      <c r="P113" s="256"/>
      <c r="Q113" s="223"/>
      <c r="R113" s="223"/>
      <c r="S113" s="224"/>
      <c r="T113" s="225"/>
      <c r="U113" s="222"/>
      <c r="V113" s="222"/>
      <c r="W113" s="224"/>
      <c r="X113" s="930"/>
      <c r="Y113" s="790" t="s">
        <v>483</v>
      </c>
      <c r="Z113" s="57"/>
    </row>
    <row r="114" spans="1:38" x14ac:dyDescent="0.35">
      <c r="A114" s="42">
        <v>109</v>
      </c>
      <c r="C114" s="230" t="s">
        <v>43</v>
      </c>
      <c r="D114" s="240"/>
      <c r="E114" s="241"/>
      <c r="F114" s="242"/>
      <c r="G114" s="242"/>
      <c r="H114" s="242"/>
      <c r="I114" s="242"/>
      <c r="J114" s="242"/>
      <c r="K114" s="242"/>
      <c r="L114" s="242"/>
      <c r="M114" s="242"/>
      <c r="N114" s="242"/>
      <c r="O114" s="280"/>
      <c r="P114" s="227">
        <v>400</v>
      </c>
      <c r="Q114" s="227">
        <v>500</v>
      </c>
      <c r="R114" s="228">
        <f t="shared" si="26"/>
        <v>-100</v>
      </c>
      <c r="S114" s="229">
        <f t="shared" si="27"/>
        <v>-0.2</v>
      </c>
      <c r="T114" s="230"/>
      <c r="U114" s="227">
        <v>300</v>
      </c>
      <c r="V114" s="227">
        <v>416.7</v>
      </c>
      <c r="W114" s="229">
        <f t="shared" si="28"/>
        <v>-0.28005759539236857</v>
      </c>
      <c r="X114" s="928"/>
      <c r="Y114" s="281"/>
      <c r="Z114" s="57" t="s">
        <v>143</v>
      </c>
      <c r="AE114" s="1">
        <f>+$P114</f>
        <v>400</v>
      </c>
      <c r="AI114" s="1">
        <f>+$U114</f>
        <v>300</v>
      </c>
    </row>
    <row r="115" spans="1:38" ht="28.5" customHeight="1" x14ac:dyDescent="0.35">
      <c r="A115" s="42">
        <v>110</v>
      </c>
      <c r="C115" s="230" t="s">
        <v>44</v>
      </c>
      <c r="D115" s="240"/>
      <c r="E115" s="241"/>
      <c r="F115" s="242"/>
      <c r="G115" s="242"/>
      <c r="H115" s="242"/>
      <c r="I115" s="242"/>
      <c r="J115" s="242"/>
      <c r="K115" s="242"/>
      <c r="L115" s="242"/>
      <c r="M115" s="242"/>
      <c r="N115" s="242"/>
      <c r="O115" s="280"/>
      <c r="P115" s="264">
        <f>+'Band and Other Music'!G29</f>
        <v>15060</v>
      </c>
      <c r="Q115" s="223">
        <f>+'Band and Other Music'!F29</f>
        <v>13385</v>
      </c>
      <c r="R115" s="228">
        <f t="shared" si="26"/>
        <v>1675</v>
      </c>
      <c r="S115" s="229">
        <f t="shared" si="27"/>
        <v>0.12514008218154651</v>
      </c>
      <c r="T115" s="230"/>
      <c r="U115" s="227">
        <v>7230</v>
      </c>
      <c r="V115" s="227">
        <v>10410.549999999999</v>
      </c>
      <c r="W115" s="229">
        <f t="shared" si="28"/>
        <v>-0.30551219676193858</v>
      </c>
      <c r="X115" s="1018" t="s">
        <v>676</v>
      </c>
      <c r="Y115" s="631" t="s">
        <v>545</v>
      </c>
      <c r="Z115" s="57" t="s">
        <v>142</v>
      </c>
      <c r="AE115" s="1">
        <f>+$P115</f>
        <v>15060</v>
      </c>
      <c r="AI115" s="1">
        <f>+$U115</f>
        <v>7230</v>
      </c>
    </row>
    <row r="116" spans="1:38" ht="33.5" customHeight="1" x14ac:dyDescent="0.35">
      <c r="A116" s="42">
        <v>110</v>
      </c>
      <c r="C116" s="1181" t="s">
        <v>673</v>
      </c>
      <c r="D116" s="1181"/>
      <c r="E116" s="241"/>
      <c r="F116" s="1128"/>
      <c r="G116" s="242"/>
      <c r="H116" s="242"/>
      <c r="I116" s="242"/>
      <c r="J116" s="242"/>
      <c r="K116" s="242"/>
      <c r="L116" s="242"/>
      <c r="M116" s="242"/>
      <c r="N116" s="242"/>
      <c r="O116" s="280"/>
      <c r="P116" s="264">
        <f>+'Band and Other Music'!G64</f>
        <v>7005</v>
      </c>
      <c r="Q116" s="223">
        <f>+'Band and Other Music'!F53</f>
        <v>3000</v>
      </c>
      <c r="R116" s="228">
        <f>+P116-Q116</f>
        <v>4005</v>
      </c>
      <c r="S116" s="229">
        <f>IF(Q116=0,"NA",(+P116-Q116)/Q116)</f>
        <v>1.335</v>
      </c>
      <c r="T116" s="230"/>
      <c r="U116" s="227">
        <v>3350</v>
      </c>
      <c r="V116" s="227">
        <v>3000</v>
      </c>
      <c r="W116" s="229">
        <f>IF(V116=0,"NA",(+U116-V116)/V116)</f>
        <v>0.11666666666666667</v>
      </c>
      <c r="X116" s="1018" t="s">
        <v>712</v>
      </c>
      <c r="Y116" s="231"/>
      <c r="Z116" s="57" t="s">
        <v>142</v>
      </c>
      <c r="AE116" s="1">
        <f>+$P116</f>
        <v>7005</v>
      </c>
      <c r="AI116" s="1">
        <f>+$U116</f>
        <v>3350</v>
      </c>
    </row>
    <row r="117" spans="1:38" x14ac:dyDescent="0.35">
      <c r="C117" s="230" t="s">
        <v>484</v>
      </c>
      <c r="D117" s="240"/>
      <c r="E117" s="241"/>
      <c r="F117" s="242"/>
      <c r="G117" s="242"/>
      <c r="H117" s="242"/>
      <c r="I117" s="242"/>
      <c r="J117" s="242"/>
      <c r="K117" s="242"/>
      <c r="L117" s="242"/>
      <c r="M117" s="242"/>
      <c r="N117" s="242"/>
      <c r="O117" s="280"/>
      <c r="P117" s="264">
        <f>+'Band and Other Music'!G41</f>
        <v>0</v>
      </c>
      <c r="Q117" s="223">
        <f>+'Band and Other Music'!F41</f>
        <v>5750</v>
      </c>
      <c r="R117" s="228">
        <f>+P117-Q117</f>
        <v>-5750</v>
      </c>
      <c r="S117" s="229">
        <f>IF(Q117=0,"NA",(+P117-Q117)/Q117)</f>
        <v>-1</v>
      </c>
      <c r="T117" s="230"/>
      <c r="U117" s="227">
        <v>0</v>
      </c>
      <c r="V117" s="227">
        <v>4791.7</v>
      </c>
      <c r="W117" s="229">
        <f>IF(V117=0,"NA",(+U117-V117)/V117)</f>
        <v>-1</v>
      </c>
      <c r="X117" s="928" t="s">
        <v>643</v>
      </c>
      <c r="Y117" s="798" t="s">
        <v>485</v>
      </c>
      <c r="Z117" s="57"/>
      <c r="AE117" s="1">
        <f>+$P117</f>
        <v>0</v>
      </c>
      <c r="AI117" s="1">
        <f>+$U117</f>
        <v>0</v>
      </c>
    </row>
    <row r="118" spans="1:38" x14ac:dyDescent="0.35">
      <c r="A118" s="42">
        <v>111</v>
      </c>
      <c r="C118" s="235" t="s">
        <v>45</v>
      </c>
      <c r="D118" s="243"/>
      <c r="E118" s="244"/>
      <c r="F118" s="245"/>
      <c r="G118" s="245"/>
      <c r="H118" s="245"/>
      <c r="I118" s="245"/>
      <c r="J118" s="245"/>
      <c r="K118" s="245"/>
      <c r="L118" s="245"/>
      <c r="M118" s="245"/>
      <c r="N118" s="245"/>
      <c r="O118" s="277"/>
      <c r="P118" s="278">
        <v>0</v>
      </c>
      <c r="Q118" s="232">
        <v>3000</v>
      </c>
      <c r="R118" s="233">
        <f t="shared" si="26"/>
        <v>-3000</v>
      </c>
      <c r="S118" s="234">
        <f t="shared" si="27"/>
        <v>-1</v>
      </c>
      <c r="T118" s="235"/>
      <c r="U118" s="232">
        <v>1250</v>
      </c>
      <c r="V118" s="232">
        <v>2500</v>
      </c>
      <c r="W118" s="234">
        <f t="shared" si="28"/>
        <v>-0.5</v>
      </c>
      <c r="X118" s="1186" t="s">
        <v>701</v>
      </c>
      <c r="Y118" s="630" t="s">
        <v>486</v>
      </c>
      <c r="Z118" s="57" t="s">
        <v>141</v>
      </c>
      <c r="AA118" s="2"/>
      <c r="AE118" s="1">
        <f>+$P118</f>
        <v>0</v>
      </c>
      <c r="AI118" s="1">
        <f>+$U118</f>
        <v>1250</v>
      </c>
    </row>
    <row r="119" spans="1:38" x14ac:dyDescent="0.35">
      <c r="C119" s="225"/>
      <c r="D119" s="237"/>
      <c r="E119" s="238"/>
      <c r="F119" s="239"/>
      <c r="G119" s="239"/>
      <c r="H119" s="239"/>
      <c r="I119" s="239"/>
      <c r="J119" s="239"/>
      <c r="K119" s="239"/>
      <c r="L119" s="239"/>
      <c r="M119" s="239"/>
      <c r="N119" s="239"/>
      <c r="O119" s="279"/>
      <c r="P119" s="256"/>
      <c r="Q119" s="222"/>
      <c r="R119" s="223"/>
      <c r="S119" s="224"/>
      <c r="T119" s="225"/>
      <c r="U119" s="222"/>
      <c r="V119" s="222"/>
      <c r="W119" s="224"/>
      <c r="X119" s="1187"/>
      <c r="Y119" s="226" t="s">
        <v>499</v>
      </c>
      <c r="Z119" s="57"/>
      <c r="AA119" s="2"/>
    </row>
    <row r="120" spans="1:38" hidden="1" x14ac:dyDescent="0.35">
      <c r="A120" s="42">
        <v>112</v>
      </c>
      <c r="C120" s="230" t="s">
        <v>46</v>
      </c>
      <c r="D120" s="240"/>
      <c r="E120" s="1194" t="s">
        <v>155</v>
      </c>
      <c r="F120" s="1195"/>
      <c r="G120" s="1195"/>
      <c r="H120" s="1195"/>
      <c r="I120" s="1195"/>
      <c r="J120" s="1195"/>
      <c r="K120" s="1195"/>
      <c r="L120" s="1195"/>
      <c r="M120" s="1195"/>
      <c r="N120" s="1195"/>
      <c r="O120" s="1195"/>
      <c r="P120" s="248">
        <v>0</v>
      </c>
      <c r="Q120" s="227">
        <v>0</v>
      </c>
      <c r="R120" s="228">
        <f t="shared" si="26"/>
        <v>0</v>
      </c>
      <c r="S120" s="229" t="str">
        <f t="shared" si="27"/>
        <v>NA</v>
      </c>
      <c r="T120" s="230"/>
      <c r="U120" s="227">
        <v>0</v>
      </c>
      <c r="V120" s="227">
        <v>0</v>
      </c>
      <c r="W120" s="229" t="str">
        <f t="shared" si="28"/>
        <v>NA</v>
      </c>
      <c r="X120" s="1015" t="s">
        <v>650</v>
      </c>
      <c r="Y120" s="231" t="s">
        <v>500</v>
      </c>
      <c r="Z120" s="57" t="s">
        <v>143</v>
      </c>
      <c r="AF120" s="1">
        <f>+$P120</f>
        <v>0</v>
      </c>
      <c r="AJ120" s="1">
        <f>+$U120</f>
        <v>0</v>
      </c>
    </row>
    <row r="121" spans="1:38" x14ac:dyDescent="0.35">
      <c r="A121" s="42">
        <v>113</v>
      </c>
      <c r="C121" s="235" t="s">
        <v>106</v>
      </c>
      <c r="D121" s="243"/>
      <c r="E121" s="1192" t="str">
        <f>Bud_Yr&amp;" Budget"</f>
        <v>2023 Budget</v>
      </c>
      <c r="F121" s="1193"/>
      <c r="G121" s="1193"/>
      <c r="H121" s="1193"/>
      <c r="I121" s="1193" t="str">
        <f>Bud_Yr-1&amp;" Budget"</f>
        <v>2022 Budget</v>
      </c>
      <c r="J121" s="1193"/>
      <c r="K121" s="1193"/>
      <c r="L121" s="1193"/>
      <c r="M121" s="282">
        <f>Bud_Yr-2</f>
        <v>2021</v>
      </c>
      <c r="N121" s="282">
        <f>+M121-1</f>
        <v>2020</v>
      </c>
      <c r="O121" s="282">
        <f>+N121-1</f>
        <v>2019</v>
      </c>
      <c r="P121" s="249">
        <v>0</v>
      </c>
      <c r="Q121" s="222">
        <v>2759</v>
      </c>
      <c r="R121" s="233">
        <f t="shared" si="26"/>
        <v>-2759</v>
      </c>
      <c r="S121" s="234">
        <f t="shared" si="27"/>
        <v>-1</v>
      </c>
      <c r="T121" s="235"/>
      <c r="U121" s="232">
        <v>1946.04</v>
      </c>
      <c r="V121" s="232">
        <v>2299.1999999999998</v>
      </c>
      <c r="W121" s="234">
        <f t="shared" si="28"/>
        <v>-0.15360125260960328</v>
      </c>
      <c r="X121" s="1014" t="s">
        <v>702</v>
      </c>
      <c r="Y121" s="630" t="s">
        <v>494</v>
      </c>
      <c r="Z121" s="57" t="s">
        <v>143</v>
      </c>
      <c r="AE121" s="1">
        <f>+$P121</f>
        <v>0</v>
      </c>
      <c r="AI121" s="1">
        <f>+$U121</f>
        <v>1946.04</v>
      </c>
    </row>
    <row r="122" spans="1:38" s="2" customFormat="1" ht="15" thickBot="1" x14ac:dyDescent="0.4">
      <c r="A122" s="42">
        <v>114</v>
      </c>
      <c r="B122" s="23" t="s">
        <v>47</v>
      </c>
      <c r="C122" s="23"/>
      <c r="D122" s="23"/>
      <c r="E122" s="90" t="s">
        <v>153</v>
      </c>
      <c r="F122" s="91" t="s">
        <v>154</v>
      </c>
      <c r="G122" s="91" t="s">
        <v>157</v>
      </c>
      <c r="H122" s="91" t="s">
        <v>152</v>
      </c>
      <c r="I122" s="91" t="s">
        <v>153</v>
      </c>
      <c r="J122" s="91" t="s">
        <v>154</v>
      </c>
      <c r="K122" s="91" t="s">
        <v>157</v>
      </c>
      <c r="L122" s="91" t="s">
        <v>152</v>
      </c>
      <c r="M122" s="92" t="s">
        <v>154</v>
      </c>
      <c r="N122" s="92" t="s">
        <v>154</v>
      </c>
      <c r="O122" s="92" t="s">
        <v>154</v>
      </c>
      <c r="P122" s="23">
        <f>SUM(P110:P121)</f>
        <v>43027</v>
      </c>
      <c r="Q122" s="23">
        <f>SUM(Q110:Q121)</f>
        <v>48357</v>
      </c>
      <c r="R122" s="23">
        <f>SUM(R110:R121)</f>
        <v>-5330</v>
      </c>
      <c r="S122" s="24">
        <f t="shared" si="27"/>
        <v>-0.11022189134975288</v>
      </c>
      <c r="U122" s="23">
        <f>SUM(U110:U121)</f>
        <v>30705.63</v>
      </c>
      <c r="V122" s="23">
        <f>SUM(V110:V121)</f>
        <v>40053.949999999997</v>
      </c>
      <c r="W122" s="24">
        <f t="shared" si="28"/>
        <v>-0.23339321090678938</v>
      </c>
      <c r="X122" s="33"/>
      <c r="Y122" s="71"/>
      <c r="Z122" s="60"/>
      <c r="AA122" s="1"/>
      <c r="AD122" s="2" t="s">
        <v>375</v>
      </c>
      <c r="AE122" s="379">
        <v>0.33300000000000002</v>
      </c>
      <c r="AF122" s="379">
        <v>0.33300000000000002</v>
      </c>
      <c r="AG122" s="379">
        <v>0.33400000000000002</v>
      </c>
      <c r="AH122" s="1"/>
      <c r="AI122" s="34">
        <f t="shared" ref="AI122:AK123" si="29">+AE122</f>
        <v>0.33300000000000002</v>
      </c>
      <c r="AJ122" s="34">
        <f t="shared" si="29"/>
        <v>0.33300000000000002</v>
      </c>
      <c r="AK122" s="34">
        <f t="shared" si="29"/>
        <v>0.33400000000000002</v>
      </c>
      <c r="AL122" s="1"/>
    </row>
    <row r="123" spans="1:38" ht="19.5" customHeight="1" x14ac:dyDescent="0.35">
      <c r="A123" s="42">
        <v>116</v>
      </c>
      <c r="B123" s="868" t="s">
        <v>48</v>
      </c>
      <c r="O123" s="25"/>
      <c r="P123" s="1029"/>
      <c r="Q123" s="25"/>
      <c r="R123" s="25"/>
      <c r="S123" s="4"/>
      <c r="Y123" s="70"/>
      <c r="Z123" s="58"/>
      <c r="AD123" s="1" t="s">
        <v>216</v>
      </c>
      <c r="AE123" s="379">
        <v>0.3</v>
      </c>
      <c r="AF123" s="379">
        <v>0.3</v>
      </c>
      <c r="AG123" s="379">
        <v>0.3</v>
      </c>
      <c r="AH123" s="379">
        <v>0.1</v>
      </c>
      <c r="AI123" s="34">
        <f t="shared" si="29"/>
        <v>0.3</v>
      </c>
      <c r="AJ123" s="34">
        <f t="shared" si="29"/>
        <v>0.3</v>
      </c>
      <c r="AK123" s="34">
        <f t="shared" si="29"/>
        <v>0.3</v>
      </c>
    </row>
    <row r="124" spans="1:38" x14ac:dyDescent="0.35">
      <c r="C124" s="389" t="s">
        <v>311</v>
      </c>
      <c r="D124" s="390"/>
      <c r="E124" s="791">
        <v>40</v>
      </c>
      <c r="F124" s="792">
        <v>22</v>
      </c>
      <c r="G124" s="791">
        <v>52</v>
      </c>
      <c r="H124" s="1054">
        <f>+IF(J124=0,"NA",ROUND((F124-J124)/J124,3))</f>
        <v>0.104</v>
      </c>
      <c r="I124" s="791">
        <v>40</v>
      </c>
      <c r="J124" s="792">
        <v>19.93</v>
      </c>
      <c r="K124" s="791">
        <v>52</v>
      </c>
      <c r="L124" s="395">
        <f>IF(M124=0,0,(+K124-M124)/M124)</f>
        <v>1.9395138496325608</v>
      </c>
      <c r="M124" s="792">
        <v>17.690000000000001</v>
      </c>
      <c r="N124" s="793">
        <v>17.34</v>
      </c>
      <c r="O124" s="793">
        <v>17</v>
      </c>
      <c r="P124" s="795">
        <f>ROUND(E124*F124*G124,0)</f>
        <v>45760</v>
      </c>
      <c r="Q124" s="397">
        <v>41454</v>
      </c>
      <c r="R124" s="394">
        <f>+P124-Q124</f>
        <v>4306</v>
      </c>
      <c r="S124" s="395">
        <f>IF(Q124=0,"NA",(+P124-Q124)/Q124)</f>
        <v>0.10387417378298837</v>
      </c>
      <c r="T124" s="389"/>
      <c r="U124" s="393">
        <v>33119.040000000001</v>
      </c>
      <c r="V124" s="393">
        <v>34545</v>
      </c>
      <c r="W124" s="395">
        <f>IF(V124=0,"NA",(+U124-V124)/V124)</f>
        <v>-4.1278332609639576E-2</v>
      </c>
      <c r="X124" s="1016" t="s">
        <v>652</v>
      </c>
      <c r="Y124" s="533" t="s">
        <v>505</v>
      </c>
      <c r="Z124" s="796"/>
      <c r="AA124" s="389"/>
      <c r="AB124" s="389"/>
      <c r="AC124" s="389"/>
      <c r="AD124" s="389"/>
      <c r="AE124" s="389">
        <f>+$P124*AE$123</f>
        <v>13728</v>
      </c>
      <c r="AF124" s="389">
        <f>+$P124*AF$123</f>
        <v>13728</v>
      </c>
      <c r="AG124" s="389">
        <f>+$P124*AG$123</f>
        <v>13728</v>
      </c>
      <c r="AH124" s="389">
        <f>+$P124*AH$123</f>
        <v>4576</v>
      </c>
      <c r="AI124" s="389">
        <f t="shared" ref="AI124:AK126" si="30">+$U124*AI$122</f>
        <v>11028.64032</v>
      </c>
      <c r="AJ124" s="389">
        <f t="shared" si="30"/>
        <v>11028.64032</v>
      </c>
      <c r="AK124" s="389">
        <f t="shared" si="30"/>
        <v>11061.75936</v>
      </c>
    </row>
    <row r="125" spans="1:38" hidden="1" x14ac:dyDescent="0.35">
      <c r="C125" s="225"/>
      <c r="D125" s="237"/>
      <c r="E125" s="554"/>
      <c r="F125" s="556"/>
      <c r="G125" s="554"/>
      <c r="H125" s="555"/>
      <c r="I125" s="554"/>
      <c r="J125" s="556"/>
      <c r="K125" s="554"/>
      <c r="L125" s="224"/>
      <c r="M125" s="556"/>
      <c r="N125" s="557"/>
      <c r="O125" s="557"/>
      <c r="P125" s="256"/>
      <c r="Q125" s="256"/>
      <c r="R125" s="223"/>
      <c r="S125" s="224"/>
      <c r="T125" s="225"/>
      <c r="U125" s="222"/>
      <c r="V125" s="222"/>
      <c r="W125" s="224"/>
      <c r="X125" s="930"/>
      <c r="Y125" s="226" t="s">
        <v>482</v>
      </c>
      <c r="Z125" s="68"/>
    </row>
    <row r="126" spans="1:38" x14ac:dyDescent="0.35">
      <c r="A126" s="42">
        <v>122</v>
      </c>
      <c r="C126" s="230" t="s">
        <v>312</v>
      </c>
      <c r="D126" s="240"/>
      <c r="E126" s="283"/>
      <c r="F126" s="287"/>
      <c r="G126" s="283"/>
      <c r="H126" s="288"/>
      <c r="I126" s="283"/>
      <c r="J126" s="284" t="s">
        <v>685</v>
      </c>
      <c r="K126" s="283"/>
      <c r="L126" s="229"/>
      <c r="M126" s="284"/>
      <c r="N126" s="286"/>
      <c r="O126" s="286"/>
      <c r="P126" s="248">
        <v>0</v>
      </c>
      <c r="Q126" s="248">
        <v>1000</v>
      </c>
      <c r="R126" s="228">
        <f>+P126-Q126</f>
        <v>-1000</v>
      </c>
      <c r="S126" s="229">
        <f>IF(Q126=0,"NA",(+P126-Q126)/Q126)</f>
        <v>-1</v>
      </c>
      <c r="T126" s="230"/>
      <c r="U126" s="227">
        <v>0</v>
      </c>
      <c r="V126" s="227">
        <v>833.3</v>
      </c>
      <c r="W126" s="229">
        <f>IF(V126=0,"NA",(+U126-V126)/V126)</f>
        <v>-1</v>
      </c>
      <c r="X126" s="1015" t="s">
        <v>688</v>
      </c>
      <c r="Y126" s="231" t="s">
        <v>280</v>
      </c>
      <c r="Z126" s="61" t="s">
        <v>116</v>
      </c>
      <c r="AE126" s="1">
        <f>+$P126*AE$122</f>
        <v>0</v>
      </c>
      <c r="AF126" s="1">
        <f>+$P126*AF$122</f>
        <v>0</v>
      </c>
      <c r="AG126" s="1">
        <f>+$P126*AG$122</f>
        <v>0</v>
      </c>
      <c r="AI126" s="1">
        <f t="shared" si="30"/>
        <v>0</v>
      </c>
      <c r="AJ126" s="1">
        <f t="shared" si="30"/>
        <v>0</v>
      </c>
      <c r="AK126" s="1">
        <f t="shared" si="30"/>
        <v>0</v>
      </c>
    </row>
    <row r="127" spans="1:38" ht="15.5" customHeight="1" x14ac:dyDescent="0.35">
      <c r="A127" s="42">
        <v>118</v>
      </c>
      <c r="C127" s="230" t="s">
        <v>50</v>
      </c>
      <c r="D127" s="240"/>
      <c r="E127" s="289">
        <v>25</v>
      </c>
      <c r="F127" s="284">
        <v>17.649999999999999</v>
      </c>
      <c r="G127" s="283">
        <v>52</v>
      </c>
      <c r="H127" s="1054">
        <f>+IF(J127=0,"NA",ROUND((F127-J127)/J127,3))</f>
        <v>0.10299999999999999</v>
      </c>
      <c r="I127" s="283">
        <v>25</v>
      </c>
      <c r="J127" s="284">
        <v>16</v>
      </c>
      <c r="K127" s="283">
        <v>52</v>
      </c>
      <c r="L127" s="229">
        <f>IF(M127=0,0,(+J127-M127)/M127)</f>
        <v>0.16110304789550078</v>
      </c>
      <c r="M127" s="284">
        <v>13.78</v>
      </c>
      <c r="N127" s="284">
        <v>13.64</v>
      </c>
      <c r="O127" s="284">
        <v>13.64</v>
      </c>
      <c r="P127" s="264">
        <f>ROUND((E127*F127*G127)+(E128*F128*G128)+(E129*F129*G129)+(E130*F130*G130),0)</f>
        <v>35685</v>
      </c>
      <c r="Q127" s="248">
        <v>34778</v>
      </c>
      <c r="R127" s="228">
        <f t="shared" ref="R127:R137" si="31">+P127-Q127</f>
        <v>907</v>
      </c>
      <c r="S127" s="229">
        <f t="shared" ref="S127:S139" si="32">IF(Q127=0,"NA",(+P127-Q127)/Q127)</f>
        <v>2.6079705560986832E-2</v>
      </c>
      <c r="T127" s="230"/>
      <c r="U127" s="248">
        <v>20917.23</v>
      </c>
      <c r="V127" s="227">
        <v>28981.7</v>
      </c>
      <c r="W127" s="229">
        <f t="shared" ref="W127:W139" si="33">IF(V127=0,"NA",(+U127-V127)/V127)</f>
        <v>-0.27826076455142384</v>
      </c>
      <c r="X127" s="1015" t="s">
        <v>686</v>
      </c>
      <c r="Y127" s="872" t="s">
        <v>504</v>
      </c>
      <c r="Z127" s="57" t="s">
        <v>118</v>
      </c>
      <c r="AH127" s="1">
        <f>+$P127</f>
        <v>35685</v>
      </c>
      <c r="AL127" s="1">
        <f>+$U127</f>
        <v>20917.23</v>
      </c>
    </row>
    <row r="128" spans="1:38" ht="29" hidden="1" x14ac:dyDescent="0.35">
      <c r="C128" s="230"/>
      <c r="D128" s="240"/>
      <c r="E128" s="289">
        <v>20</v>
      </c>
      <c r="F128" s="287">
        <f>ROUND(+J128*(1+F79),2)+0.03</f>
        <v>12.25</v>
      </c>
      <c r="G128" s="283">
        <v>52</v>
      </c>
      <c r="H128" s="285">
        <f>+IF(J128=0,"NA",ROUND((F128-J128)/J128,3))</f>
        <v>3.3000000000000002E-2</v>
      </c>
      <c r="I128" s="283">
        <v>20</v>
      </c>
      <c r="J128" s="284">
        <v>11.86</v>
      </c>
      <c r="K128" s="283">
        <v>52</v>
      </c>
      <c r="L128" s="229">
        <f>IF(M128=0,0,(+J128-M128)/M128)</f>
        <v>2.5064822817631734E-2</v>
      </c>
      <c r="M128" s="284">
        <v>11.57</v>
      </c>
      <c r="N128" s="284">
        <v>11.57</v>
      </c>
      <c r="O128" s="284">
        <v>13.64</v>
      </c>
      <c r="P128" s="264"/>
      <c r="Q128" s="264"/>
      <c r="R128" s="228"/>
      <c r="S128" s="229"/>
      <c r="T128" s="230"/>
      <c r="U128" s="248"/>
      <c r="V128" s="227"/>
      <c r="W128" s="229"/>
      <c r="X128" s="1015"/>
      <c r="Y128" s="231" t="str">
        <f>"Rebecca Arreola:  "&amp;Bud_Yr&amp;":  avg "&amp;E128&amp;" hrs/week at $"&amp;F128&amp;"/hr ("&amp;ROUND(H128*100,1)&amp;"% incr.) for "&amp;G128&amp;" weeks.                                    "&amp;Bud_Yr-1&amp;":  avg "&amp;I128&amp;" hrs/week at $"&amp;J128&amp;"/hr ("&amp;ROUND(L128*100,1)&amp;"% incr.) for "&amp;K128&amp;" weeks.   "&amp;Bud_Yr-2&amp;":  $"&amp;M128&amp;"/hour."</f>
        <v>Rebecca Arreola:  2023:  avg 20 hrs/week at $12.25/hr (3.3% incr.) for 52 weeks.                                    2022:  avg 20 hrs/week at $11.86/hr (2.5% incr.) for 52 weeks.   2021:  $11.57/hour.</v>
      </c>
      <c r="Z128" s="57"/>
      <c r="AB128" s="74"/>
    </row>
    <row r="129" spans="1:38" ht="42.5" hidden="1" customHeight="1" x14ac:dyDescent="0.35">
      <c r="C129" s="230"/>
      <c r="D129" s="240"/>
      <c r="E129" s="289">
        <v>0</v>
      </c>
      <c r="F129" s="844">
        <f>ROUND(13*(1+0.025),2)</f>
        <v>13.33</v>
      </c>
      <c r="G129" s="283">
        <v>52</v>
      </c>
      <c r="H129" s="285">
        <f>+IF(J129=0,"NA",ROUND((F129-J129)/J129,3))</f>
        <v>0.21199999999999999</v>
      </c>
      <c r="I129" s="289">
        <v>7.5</v>
      </c>
      <c r="J129" s="284">
        <v>11</v>
      </c>
      <c r="K129" s="283">
        <v>52</v>
      </c>
      <c r="L129" s="229">
        <f>IF(M129=0,0,(+J129-M129)/M129)</f>
        <v>-1.9607843137254957E-2</v>
      </c>
      <c r="M129" s="284">
        <v>11.22</v>
      </c>
      <c r="N129" s="284">
        <v>11.22</v>
      </c>
      <c r="O129" s="284">
        <v>11.22</v>
      </c>
      <c r="P129" s="264"/>
      <c r="Q129" s="264"/>
      <c r="R129" s="228"/>
      <c r="S129" s="229"/>
      <c r="T129" s="230"/>
      <c r="U129" s="248"/>
      <c r="V129" s="227"/>
      <c r="W129" s="229"/>
      <c r="X129" s="1015" t="s">
        <v>651</v>
      </c>
      <c r="Y129" s="231" t="str">
        <f>"Glenn Napier took on Lead responsibilities and received a raise in 2021.  No increrase for 2022: "&amp;Bud_Yr&amp;":  avg "&amp;E129&amp;" hrs/week at $"&amp;F129&amp;"/hr ("&amp;ROUND(H129*100,1)&amp;"% incr.) for "&amp;G129&amp;" weeks. "&amp;Bud_Yr-1&amp;":  avg "&amp;I129&amp;" hrs/week at $"&amp;J129&amp;"/hr ("&amp;ROUND(L129*100,1)&amp;"% incr.) for "&amp;K129&amp;" weeks.   "&amp;Bud_Yr-2&amp;":  $"&amp;M129&amp;"/hour."</f>
        <v>Glenn Napier took on Lead responsibilities and received a raise in 2021.  No increrase for 2022: 2023:  avg 0 hrs/week at $13.33/hr (21.2% incr.) for 52 weeks. 2022:  avg 7.5 hrs/week at $11/hr (-2% incr.) for 52 weeks.   2021:  $11.22/hour.</v>
      </c>
      <c r="Z129" s="57"/>
      <c r="AB129" s="74"/>
    </row>
    <row r="130" spans="1:38" ht="42.5" hidden="1" customHeight="1" x14ac:dyDescent="0.35">
      <c r="C130" s="230"/>
      <c r="D130" s="240"/>
      <c r="E130" s="289">
        <v>0</v>
      </c>
      <c r="F130" s="797">
        <v>11</v>
      </c>
      <c r="G130" s="283">
        <v>52</v>
      </c>
      <c r="H130" s="285" t="str">
        <f>+IF(J130=0,"NA",ROUND((F130-J130)/J130,3))</f>
        <v>NA</v>
      </c>
      <c r="I130" s="289">
        <v>0</v>
      </c>
      <c r="J130" s="284">
        <v>0</v>
      </c>
      <c r="K130" s="283">
        <v>0</v>
      </c>
      <c r="L130" s="229">
        <f>IF(M130=0,0,(+J130-M130)/M130)</f>
        <v>0</v>
      </c>
      <c r="M130" s="284">
        <v>0</v>
      </c>
      <c r="N130" s="284">
        <v>0</v>
      </c>
      <c r="O130" s="284">
        <v>0</v>
      </c>
      <c r="P130" s="264"/>
      <c r="Q130" s="264"/>
      <c r="R130" s="228"/>
      <c r="S130" s="229"/>
      <c r="T130" s="230"/>
      <c r="U130" s="248"/>
      <c r="V130" s="227"/>
      <c r="W130" s="229"/>
      <c r="X130" s="928"/>
      <c r="Y130" s="231" t="str">
        <f>"Additional help to support and back up Glenn "&amp;Bud_Yr&amp;":  avg "&amp;E130&amp;" hrs/week at $"&amp;F130&amp;"/hr for "&amp;G130&amp;" weeks. "</f>
        <v xml:space="preserve">Additional help to support and back up Glenn 2023:  avg 0 hrs/week at $11/hr for 52 weeks. </v>
      </c>
      <c r="Z130" s="57"/>
      <c r="AB130" s="74"/>
    </row>
    <row r="131" spans="1:38" x14ac:dyDescent="0.35">
      <c r="A131" s="42">
        <v>119</v>
      </c>
      <c r="C131" s="230" t="s">
        <v>51</v>
      </c>
      <c r="D131" s="240"/>
      <c r="E131" s="241"/>
      <c r="F131" s="242"/>
      <c r="G131" s="242"/>
      <c r="H131" s="242"/>
      <c r="I131" s="242"/>
      <c r="J131" s="242"/>
      <c r="K131" s="242"/>
      <c r="L131" s="242"/>
      <c r="M131" s="242"/>
      <c r="N131" s="242"/>
      <c r="O131" s="230"/>
      <c r="P131" s="248">
        <v>200</v>
      </c>
      <c r="Q131" s="227">
        <v>400</v>
      </c>
      <c r="R131" s="228">
        <f t="shared" si="31"/>
        <v>-200</v>
      </c>
      <c r="S131" s="229">
        <f t="shared" si="32"/>
        <v>-0.5</v>
      </c>
      <c r="T131" s="230"/>
      <c r="U131" s="248">
        <v>0</v>
      </c>
      <c r="V131" s="227">
        <v>333.3</v>
      </c>
      <c r="W131" s="229">
        <f t="shared" si="33"/>
        <v>-1</v>
      </c>
      <c r="X131" s="1015" t="s">
        <v>653</v>
      </c>
      <c r="Y131" s="231"/>
      <c r="Z131" s="61"/>
      <c r="AE131" s="1">
        <f t="shared" ref="AE131:AG132" si="34">+$P131*AE$122</f>
        <v>66.600000000000009</v>
      </c>
      <c r="AF131" s="1">
        <f t="shared" si="34"/>
        <v>66.600000000000009</v>
      </c>
      <c r="AG131" s="1">
        <f t="shared" si="34"/>
        <v>66.8</v>
      </c>
      <c r="AI131" s="1">
        <f t="shared" ref="AI131:AK132" si="35">+$U131*AI$122</f>
        <v>0</v>
      </c>
      <c r="AJ131" s="1">
        <f t="shared" si="35"/>
        <v>0</v>
      </c>
      <c r="AK131" s="1">
        <f t="shared" si="35"/>
        <v>0</v>
      </c>
    </row>
    <row r="132" spans="1:38" x14ac:dyDescent="0.35">
      <c r="A132" s="42">
        <v>120</v>
      </c>
      <c r="C132" s="230" t="s">
        <v>95</v>
      </c>
      <c r="D132" s="240"/>
      <c r="E132" s="241"/>
      <c r="F132" s="242"/>
      <c r="G132" s="242"/>
      <c r="H132" s="242"/>
      <c r="I132" s="242"/>
      <c r="J132" s="242"/>
      <c r="K132" s="242"/>
      <c r="L132" s="242"/>
      <c r="M132" s="242"/>
      <c r="N132" s="242"/>
      <c r="O132" s="230"/>
      <c r="P132" s="248">
        <f>700</f>
        <v>700</v>
      </c>
      <c r="Q132" s="227">
        <v>700</v>
      </c>
      <c r="R132" s="228">
        <f t="shared" si="31"/>
        <v>0</v>
      </c>
      <c r="S132" s="229">
        <f t="shared" si="32"/>
        <v>0</v>
      </c>
      <c r="T132" s="230"/>
      <c r="U132" s="227">
        <v>0</v>
      </c>
      <c r="V132" s="227">
        <v>583.29999999999995</v>
      </c>
      <c r="W132" s="229">
        <f t="shared" si="33"/>
        <v>-1</v>
      </c>
      <c r="X132" s="1015" t="s">
        <v>654</v>
      </c>
      <c r="Y132" s="231" t="s">
        <v>487</v>
      </c>
      <c r="Z132" s="61"/>
      <c r="AA132" s="2"/>
      <c r="AE132" s="1">
        <f t="shared" si="34"/>
        <v>233.10000000000002</v>
      </c>
      <c r="AF132" s="1">
        <f t="shared" si="34"/>
        <v>233.10000000000002</v>
      </c>
      <c r="AG132" s="1">
        <f t="shared" si="34"/>
        <v>233.8</v>
      </c>
      <c r="AI132" s="1">
        <f t="shared" si="35"/>
        <v>0</v>
      </c>
      <c r="AJ132" s="1">
        <f t="shared" si="35"/>
        <v>0</v>
      </c>
      <c r="AK132" s="1">
        <f t="shared" si="35"/>
        <v>0</v>
      </c>
    </row>
    <row r="133" spans="1:38" ht="14" customHeight="1" x14ac:dyDescent="0.35">
      <c r="C133" s="230" t="s">
        <v>111</v>
      </c>
      <c r="D133" s="240"/>
      <c r="E133" s="241"/>
      <c r="F133" s="242"/>
      <c r="G133" s="242"/>
      <c r="H133" s="290"/>
      <c r="I133" s="290"/>
      <c r="J133" s="290"/>
      <c r="K133" s="290"/>
      <c r="L133" s="290"/>
      <c r="M133" s="290"/>
      <c r="N133" s="290"/>
      <c r="O133" s="291"/>
      <c r="P133" s="264">
        <f>+'Band and Other Music'!G73</f>
        <v>0</v>
      </c>
      <c r="Q133" s="227">
        <v>925</v>
      </c>
      <c r="R133" s="228">
        <f t="shared" si="31"/>
        <v>-925</v>
      </c>
      <c r="S133" s="229">
        <f>IF(Q133=0,"NA",(+P133-Q133)/Q133)</f>
        <v>-1</v>
      </c>
      <c r="T133" s="230"/>
      <c r="U133" s="248">
        <v>0</v>
      </c>
      <c r="V133" s="227">
        <v>719.44</v>
      </c>
      <c r="W133" s="229">
        <f>IF(V133=0,"NA",(+U133-V133)/V133)</f>
        <v>-1</v>
      </c>
      <c r="X133" s="1015" t="s">
        <v>687</v>
      </c>
      <c r="Y133" s="231" t="s">
        <v>305</v>
      </c>
      <c r="Z133" s="57" t="s">
        <v>128</v>
      </c>
      <c r="AE133" s="1">
        <f>+$P133</f>
        <v>0</v>
      </c>
      <c r="AI133" s="1">
        <f>+$U133</f>
        <v>0</v>
      </c>
    </row>
    <row r="134" spans="1:38" ht="16.5" customHeight="1" x14ac:dyDescent="0.35">
      <c r="C134" s="1180" t="s">
        <v>706</v>
      </c>
      <c r="D134" s="1180"/>
      <c r="E134" s="283"/>
      <c r="F134" s="766"/>
      <c r="G134" s="283"/>
      <c r="H134" s="285"/>
      <c r="I134" s="283"/>
      <c r="J134" s="284"/>
      <c r="K134" s="283"/>
      <c r="L134" s="229"/>
      <c r="M134" s="284"/>
      <c r="N134" s="284"/>
      <c r="O134" s="284"/>
      <c r="P134" s="799">
        <f>6900+12000-230</f>
        <v>18670</v>
      </c>
      <c r="Q134" s="264">
        <f>ROUND(+I134*J134*K134,0)</f>
        <v>0</v>
      </c>
      <c r="R134" s="228">
        <f>+P134-Q134</f>
        <v>18670</v>
      </c>
      <c r="S134" s="229" t="str">
        <f>IF(Q134=0,"NA",(+P134-Q134)/Q134)</f>
        <v>NA</v>
      </c>
      <c r="T134" s="230"/>
      <c r="U134" s="248">
        <v>0</v>
      </c>
      <c r="V134" s="227">
        <v>0</v>
      </c>
      <c r="W134" s="229" t="str">
        <f>IF(V134=0,"NA",(+U134-V134)/V134)</f>
        <v>NA</v>
      </c>
      <c r="X134" s="1015" t="s">
        <v>734</v>
      </c>
      <c r="Y134" s="274"/>
      <c r="Z134" s="58"/>
      <c r="AA134" s="38"/>
      <c r="AE134" s="1">
        <f t="shared" ref="AE134:AG136" si="36">+$P134*AE$122</f>
        <v>6217.1100000000006</v>
      </c>
      <c r="AF134" s="1">
        <f t="shared" si="36"/>
        <v>6217.1100000000006</v>
      </c>
      <c r="AG134" s="1">
        <f t="shared" si="36"/>
        <v>6235.7800000000007</v>
      </c>
      <c r="AI134" s="1">
        <f t="shared" ref="AI134:AK136" si="37">+$U134*AI$122</f>
        <v>0</v>
      </c>
      <c r="AJ134" s="1">
        <f t="shared" si="37"/>
        <v>0</v>
      </c>
      <c r="AK134" s="1">
        <f t="shared" si="37"/>
        <v>0</v>
      </c>
    </row>
    <row r="135" spans="1:38" ht="14.5" customHeight="1" x14ac:dyDescent="0.35">
      <c r="A135" s="42">
        <v>123</v>
      </c>
      <c r="C135" s="230" t="s">
        <v>52</v>
      </c>
      <c r="D135" s="240"/>
      <c r="E135" s="293"/>
      <c r="F135" s="430"/>
      <c r="G135" s="293"/>
      <c r="H135" s="293"/>
      <c r="I135" s="293"/>
      <c r="J135" s="294"/>
      <c r="K135" s="295"/>
      <c r="L135" s="295"/>
      <c r="M135" s="296">
        <v>7.6499999999999999E-2</v>
      </c>
      <c r="N135" s="296"/>
      <c r="O135" s="230"/>
      <c r="P135" s="248">
        <f>ROUND((+P106+P122+P124+P126+P127+P133+P137)*$M135,0)+4</f>
        <v>9603</v>
      </c>
      <c r="Q135" s="248">
        <v>9778</v>
      </c>
      <c r="R135" s="228">
        <f>+P135-Q135</f>
        <v>-175</v>
      </c>
      <c r="S135" s="229">
        <f t="shared" si="32"/>
        <v>-1.7897320515442832E-2</v>
      </c>
      <c r="T135" s="230"/>
      <c r="U135" s="248">
        <v>5137.8500000000004</v>
      </c>
      <c r="V135" s="248">
        <v>8148.3</v>
      </c>
      <c r="W135" s="229">
        <f t="shared" si="33"/>
        <v>-0.3694574328387516</v>
      </c>
      <c r="X135" s="1013"/>
      <c r="Y135" s="281" t="s">
        <v>290</v>
      </c>
      <c r="Z135" s="61" t="s">
        <v>129</v>
      </c>
      <c r="AA135" s="45"/>
      <c r="AE135" s="1">
        <f t="shared" si="36"/>
        <v>3197.799</v>
      </c>
      <c r="AF135" s="1">
        <f t="shared" si="36"/>
        <v>3197.799</v>
      </c>
      <c r="AG135" s="1">
        <f t="shared" si="36"/>
        <v>3207.402</v>
      </c>
      <c r="AI135" s="1">
        <f t="shared" si="37"/>
        <v>1710.9040500000003</v>
      </c>
      <c r="AJ135" s="1">
        <f t="shared" si="37"/>
        <v>1710.9040500000003</v>
      </c>
      <c r="AK135" s="1">
        <f t="shared" si="37"/>
        <v>1716.0419000000002</v>
      </c>
    </row>
    <row r="136" spans="1:38" ht="14.4" customHeight="1" x14ac:dyDescent="0.35">
      <c r="A136" s="42">
        <v>124</v>
      </c>
      <c r="C136" s="230" t="s">
        <v>53</v>
      </c>
      <c r="D136" s="240"/>
      <c r="E136" s="241"/>
      <c r="F136" s="431"/>
      <c r="G136" s="431"/>
      <c r="H136" s="431"/>
      <c r="I136" s="242"/>
      <c r="J136" s="242"/>
      <c r="K136" s="242"/>
      <c r="L136" s="242"/>
      <c r="M136" s="242"/>
      <c r="N136" s="242"/>
      <c r="O136" s="230"/>
      <c r="P136" s="248">
        <f>845.5*4</f>
        <v>3382</v>
      </c>
      <c r="Q136" s="248">
        <v>3400</v>
      </c>
      <c r="R136" s="228">
        <f t="shared" si="31"/>
        <v>-18</v>
      </c>
      <c r="S136" s="229">
        <f t="shared" si="32"/>
        <v>-5.2941176470588233E-3</v>
      </c>
      <c r="T136" s="230"/>
      <c r="U136" s="248">
        <v>2549.5</v>
      </c>
      <c r="V136" s="248">
        <v>2550</v>
      </c>
      <c r="W136" s="229">
        <f t="shared" si="33"/>
        <v>-1.9607843137254901E-4</v>
      </c>
      <c r="X136" s="930" t="s">
        <v>720</v>
      </c>
      <c r="Y136" s="790" t="s">
        <v>546</v>
      </c>
      <c r="Z136" s="61" t="s">
        <v>130</v>
      </c>
      <c r="AA136" s="45"/>
      <c r="AE136" s="1">
        <f t="shared" si="36"/>
        <v>1126.2060000000001</v>
      </c>
      <c r="AF136" s="1">
        <f t="shared" si="36"/>
        <v>1126.2060000000001</v>
      </c>
      <c r="AG136" s="1">
        <f t="shared" si="36"/>
        <v>1129.588</v>
      </c>
      <c r="AI136" s="1">
        <f t="shared" si="37"/>
        <v>848.98350000000005</v>
      </c>
      <c r="AJ136" s="1">
        <f t="shared" si="37"/>
        <v>848.98350000000005</v>
      </c>
      <c r="AK136" s="1">
        <f t="shared" si="37"/>
        <v>851.53300000000002</v>
      </c>
    </row>
    <row r="137" spans="1:38" x14ac:dyDescent="0.35">
      <c r="A137" s="42">
        <v>125</v>
      </c>
      <c r="C137" s="230" t="s">
        <v>54</v>
      </c>
      <c r="D137" s="240"/>
      <c r="P137" s="53">
        <v>1000</v>
      </c>
      <c r="Q137" s="51">
        <v>500</v>
      </c>
      <c r="R137" s="37">
        <f t="shared" si="31"/>
        <v>500</v>
      </c>
      <c r="S137" s="3">
        <f t="shared" si="32"/>
        <v>1</v>
      </c>
      <c r="U137" s="53">
        <v>1000</v>
      </c>
      <c r="V137" s="53">
        <v>416.7</v>
      </c>
      <c r="W137" s="3">
        <f t="shared" si="33"/>
        <v>1.3998080153587713</v>
      </c>
      <c r="X137" s="1019" t="s">
        <v>719</v>
      </c>
      <c r="Y137" s="885" t="s">
        <v>578</v>
      </c>
      <c r="Z137" s="57"/>
      <c r="AE137" s="1">
        <f>+$P137</f>
        <v>1000</v>
      </c>
      <c r="AI137" s="1">
        <f>+$U137</f>
        <v>1000</v>
      </c>
    </row>
    <row r="138" spans="1:38" s="2" customFormat="1" x14ac:dyDescent="0.35">
      <c r="A138" s="42">
        <v>127</v>
      </c>
      <c r="B138" s="23" t="s">
        <v>49</v>
      </c>
      <c r="C138" s="23"/>
      <c r="D138" s="23"/>
      <c r="E138" s="85"/>
      <c r="F138" s="85"/>
      <c r="G138" s="85"/>
      <c r="H138" s="85"/>
      <c r="I138" s="85"/>
      <c r="J138" s="85"/>
      <c r="K138" s="85"/>
      <c r="L138" s="85"/>
      <c r="M138" s="85"/>
      <c r="N138" s="85"/>
      <c r="O138" s="23"/>
      <c r="P138" s="23">
        <f>SUM(P124:P137)</f>
        <v>115000</v>
      </c>
      <c r="Q138" s="23">
        <f>SUM(Q124:Q137)</f>
        <v>92935</v>
      </c>
      <c r="R138" s="23">
        <f>SUM(R124:R137)</f>
        <v>22065</v>
      </c>
      <c r="S138" s="24">
        <f t="shared" si="32"/>
        <v>0.23742400602571689</v>
      </c>
      <c r="U138" s="23">
        <f>SUM(U124:U137)</f>
        <v>62723.62</v>
      </c>
      <c r="V138" s="23">
        <f>SUM(V124:V137)</f>
        <v>77111.040000000008</v>
      </c>
      <c r="W138" s="24">
        <f t="shared" si="33"/>
        <v>-0.1865805467025215</v>
      </c>
      <c r="X138" s="33"/>
      <c r="Y138" s="71"/>
      <c r="Z138" s="60"/>
      <c r="AA138" s="25"/>
    </row>
    <row r="139" spans="1:38" x14ac:dyDescent="0.35">
      <c r="A139" s="42">
        <v>128</v>
      </c>
      <c r="B139" s="23" t="s">
        <v>55</v>
      </c>
      <c r="C139" s="23"/>
      <c r="D139" s="23"/>
      <c r="E139" s="85"/>
      <c r="F139" s="24"/>
      <c r="G139" s="24"/>
      <c r="H139" s="24"/>
      <c r="I139" s="24"/>
      <c r="J139" s="24"/>
      <c r="K139" s="24"/>
      <c r="L139" s="24"/>
      <c r="M139" s="24"/>
      <c r="N139" s="24"/>
      <c r="O139" s="33"/>
      <c r="P139" s="23">
        <f>+P92+P104+P108+P122+P138</f>
        <v>284616</v>
      </c>
      <c r="Q139" s="23">
        <f>+Q92+Q104+Q108+Q122+Q138</f>
        <v>340121</v>
      </c>
      <c r="R139" s="23">
        <f>+R92+R104+R108+R122+R138</f>
        <v>-55505</v>
      </c>
      <c r="S139" s="24">
        <f t="shared" si="32"/>
        <v>-0.16319192287450643</v>
      </c>
      <c r="U139" s="23">
        <f>+U92+U104+U108+U122+U138</f>
        <v>227593.99</v>
      </c>
      <c r="V139" s="23">
        <f>+V92+V104+V108+V122+V138</f>
        <v>282731.42000000004</v>
      </c>
      <c r="W139" s="24">
        <f t="shared" si="33"/>
        <v>-0.19501698820739499</v>
      </c>
      <c r="X139" s="33"/>
      <c r="Y139" s="70"/>
      <c r="Z139" s="58"/>
      <c r="AA139" s="25"/>
    </row>
    <row r="140" spans="1:38" ht="23" customHeight="1" x14ac:dyDescent="0.35">
      <c r="A140" s="42">
        <v>130</v>
      </c>
      <c r="B140" s="6" t="s">
        <v>56</v>
      </c>
      <c r="S140" s="4"/>
      <c r="Y140" s="70"/>
      <c r="Z140" s="58"/>
    </row>
    <row r="141" spans="1:38" ht="19.5" customHeight="1" x14ac:dyDescent="0.35">
      <c r="A141" s="42">
        <v>131</v>
      </c>
      <c r="B141" s="868" t="s">
        <v>57</v>
      </c>
      <c r="E141" s="1129"/>
      <c r="F141" s="1130"/>
      <c r="S141" s="4"/>
      <c r="X141" s="968"/>
      <c r="Y141" s="70"/>
      <c r="Z141" s="58"/>
    </row>
    <row r="142" spans="1:38" ht="14.5" customHeight="1" x14ac:dyDescent="0.35">
      <c r="A142" s="42">
        <v>132</v>
      </c>
      <c r="C142" s="389" t="s">
        <v>59</v>
      </c>
      <c r="D142" s="390"/>
      <c r="E142" s="391"/>
      <c r="F142" s="392"/>
      <c r="G142" s="392"/>
      <c r="H142" s="392"/>
      <c r="I142" s="392"/>
      <c r="J142" s="392"/>
      <c r="K142" s="392"/>
      <c r="L142" s="392"/>
      <c r="M142" s="392"/>
      <c r="N142" s="392"/>
      <c r="O142" s="389"/>
      <c r="P142" s="397">
        <v>12000</v>
      </c>
      <c r="Q142" s="397">
        <v>11000</v>
      </c>
      <c r="R142" s="394">
        <f t="shared" ref="R142:R147" si="38">+P142-Q142</f>
        <v>1000</v>
      </c>
      <c r="S142" s="395">
        <f t="shared" ref="S142:S148" si="39">IF(Q142=0,"NA",(+P142-Q142)/Q142)</f>
        <v>9.0909090909090912E-2</v>
      </c>
      <c r="T142" s="389"/>
      <c r="U142" s="393">
        <v>9833.43</v>
      </c>
      <c r="V142" s="393">
        <v>9166.7000000000007</v>
      </c>
      <c r="W142" s="395">
        <f t="shared" ref="W142:W148" si="40">IF(V142=0,"NA",(+U142-V142)/V142)</f>
        <v>7.2733917331209652E-2</v>
      </c>
      <c r="X142" s="1016" t="s">
        <v>704</v>
      </c>
      <c r="Y142" s="790" t="s">
        <v>488</v>
      </c>
      <c r="Z142" s="57" t="s">
        <v>131</v>
      </c>
      <c r="AH142" s="1">
        <f t="shared" ref="AH142:AH147" si="41">+$P142</f>
        <v>12000</v>
      </c>
      <c r="AL142" s="1">
        <f t="shared" ref="AL142:AL147" si="42">+$U142</f>
        <v>9833.43</v>
      </c>
    </row>
    <row r="143" spans="1:38" ht="14.5" customHeight="1" x14ac:dyDescent="0.35">
      <c r="A143" s="42">
        <v>133</v>
      </c>
      <c r="C143" s="230" t="s">
        <v>60</v>
      </c>
      <c r="D143" s="240"/>
      <c r="E143" s="238"/>
      <c r="F143" s="239"/>
      <c r="G143" s="239"/>
      <c r="H143" s="239"/>
      <c r="I143" s="239"/>
      <c r="J143" s="239"/>
      <c r="K143" s="239"/>
      <c r="L143" s="239"/>
      <c r="M143" s="239"/>
      <c r="N143" s="239"/>
      <c r="O143" s="225"/>
      <c r="P143" s="248">
        <f>700*12</f>
        <v>8400</v>
      </c>
      <c r="Q143" s="248">
        <v>8400</v>
      </c>
      <c r="R143" s="228">
        <f t="shared" si="38"/>
        <v>0</v>
      </c>
      <c r="S143" s="229">
        <f t="shared" si="39"/>
        <v>0</v>
      </c>
      <c r="T143" s="230"/>
      <c r="U143" s="227">
        <v>6160.51</v>
      </c>
      <c r="V143" s="227">
        <v>7000</v>
      </c>
      <c r="W143" s="229">
        <f t="shared" si="40"/>
        <v>-0.11992714285714283</v>
      </c>
      <c r="X143" s="921" t="s">
        <v>718</v>
      </c>
      <c r="Y143" s="533" t="s">
        <v>493</v>
      </c>
      <c r="Z143" s="65" t="s">
        <v>134</v>
      </c>
      <c r="AH143" s="1">
        <f t="shared" si="41"/>
        <v>8400</v>
      </c>
      <c r="AL143" s="1">
        <f t="shared" si="42"/>
        <v>6160.51</v>
      </c>
    </row>
    <row r="144" spans="1:38" x14ac:dyDescent="0.35">
      <c r="A144" s="42">
        <v>134</v>
      </c>
      <c r="C144" s="389" t="s">
        <v>282</v>
      </c>
      <c r="D144" s="390"/>
      <c r="E144" s="391"/>
      <c r="F144" s="392"/>
      <c r="G144" s="392"/>
      <c r="H144" s="392"/>
      <c r="I144" s="392"/>
      <c r="J144" s="392"/>
      <c r="K144" s="392"/>
      <c r="L144" s="392"/>
      <c r="M144" s="392"/>
      <c r="N144" s="392"/>
      <c r="O144" s="403"/>
      <c r="P144" s="393">
        <f>425*12</f>
        <v>5100</v>
      </c>
      <c r="Q144" s="393">
        <v>4800</v>
      </c>
      <c r="R144" s="394">
        <f t="shared" si="38"/>
        <v>300</v>
      </c>
      <c r="S144" s="395">
        <f t="shared" si="39"/>
        <v>6.25E-2</v>
      </c>
      <c r="T144" s="389"/>
      <c r="U144" s="393">
        <v>4018.3</v>
      </c>
      <c r="V144" s="393">
        <v>4000</v>
      </c>
      <c r="W144" s="395">
        <f t="shared" si="40"/>
        <v>4.5750000000000452E-3</v>
      </c>
      <c r="X144" s="1014" t="s">
        <v>704</v>
      </c>
      <c r="Y144" s="631" t="s">
        <v>488</v>
      </c>
      <c r="Z144" s="64"/>
      <c r="AA144" s="2"/>
      <c r="AH144" s="1">
        <f t="shared" si="41"/>
        <v>5100</v>
      </c>
      <c r="AL144" s="1">
        <f t="shared" si="42"/>
        <v>4018.3</v>
      </c>
    </row>
    <row r="145" spans="1:38" ht="14.5" customHeight="1" x14ac:dyDescent="0.35">
      <c r="A145" s="42">
        <v>135</v>
      </c>
      <c r="C145" s="235" t="s">
        <v>62</v>
      </c>
      <c r="D145" s="243"/>
      <c r="P145" s="232">
        <v>1800</v>
      </c>
      <c r="Q145" s="232">
        <v>1800</v>
      </c>
      <c r="R145" s="233">
        <f t="shared" si="38"/>
        <v>0</v>
      </c>
      <c r="S145" s="234">
        <f t="shared" si="39"/>
        <v>0</v>
      </c>
      <c r="T145" s="235"/>
      <c r="U145" s="232">
        <v>999.86</v>
      </c>
      <c r="V145" s="232">
        <v>1800</v>
      </c>
      <c r="W145" s="234">
        <f t="shared" si="40"/>
        <v>-0.44452222222222221</v>
      </c>
      <c r="X145" s="1024" t="s">
        <v>700</v>
      </c>
      <c r="Y145" s="631" t="s">
        <v>501</v>
      </c>
      <c r="Z145" s="57"/>
      <c r="AH145" s="1">
        <f t="shared" si="41"/>
        <v>1800</v>
      </c>
      <c r="AL145" s="1">
        <f t="shared" si="42"/>
        <v>999.86</v>
      </c>
    </row>
    <row r="146" spans="1:38" ht="14.5" customHeight="1" x14ac:dyDescent="0.35">
      <c r="A146" s="42">
        <v>136</v>
      </c>
      <c r="C146" s="235" t="s">
        <v>63</v>
      </c>
      <c r="D146" s="243"/>
      <c r="P146" s="232">
        <v>350</v>
      </c>
      <c r="Q146" s="249">
        <v>350</v>
      </c>
      <c r="R146" s="233">
        <f t="shared" si="38"/>
        <v>0</v>
      </c>
      <c r="S146" s="234">
        <f t="shared" si="39"/>
        <v>0</v>
      </c>
      <c r="T146" s="235"/>
      <c r="U146" s="232">
        <v>263.39999999999998</v>
      </c>
      <c r="V146" s="232">
        <v>291.7</v>
      </c>
      <c r="W146" s="234">
        <f t="shared" si="40"/>
        <v>-9.7017483716146768E-2</v>
      </c>
      <c r="X146" s="923"/>
      <c r="Y146" s="533" t="s">
        <v>563</v>
      </c>
      <c r="Z146" s="65" t="s">
        <v>135</v>
      </c>
      <c r="AH146" s="1">
        <f t="shared" si="41"/>
        <v>350</v>
      </c>
      <c r="AL146" s="1">
        <f t="shared" si="42"/>
        <v>263.39999999999998</v>
      </c>
    </row>
    <row r="147" spans="1:38" x14ac:dyDescent="0.35">
      <c r="A147" s="42">
        <v>138</v>
      </c>
      <c r="B147" s="633"/>
      <c r="C147" s="235" t="s">
        <v>100</v>
      </c>
      <c r="D147" s="243"/>
      <c r="E147" s="391"/>
      <c r="F147" s="392"/>
      <c r="G147" s="392"/>
      <c r="H147" s="392"/>
      <c r="I147" s="392"/>
      <c r="J147" s="392"/>
      <c r="K147" s="392"/>
      <c r="L147" s="392"/>
      <c r="M147" s="392"/>
      <c r="N147" s="392"/>
      <c r="O147" s="389"/>
      <c r="P147" s="232">
        <v>7000</v>
      </c>
      <c r="Q147" s="232">
        <v>6052</v>
      </c>
      <c r="R147" s="233">
        <f t="shared" si="38"/>
        <v>948</v>
      </c>
      <c r="S147" s="234">
        <f t="shared" si="39"/>
        <v>0.1566424322538004</v>
      </c>
      <c r="T147" s="235"/>
      <c r="U147" s="232">
        <v>6442.82</v>
      </c>
      <c r="V147" s="232">
        <v>6052</v>
      </c>
      <c r="W147" s="234">
        <f t="shared" si="40"/>
        <v>6.4576999339061414E-2</v>
      </c>
      <c r="X147" s="923"/>
      <c r="Y147" s="630" t="s">
        <v>502</v>
      </c>
      <c r="Z147" s="57"/>
      <c r="AH147" s="1">
        <f t="shared" si="41"/>
        <v>7000</v>
      </c>
      <c r="AL147" s="1">
        <f t="shared" si="42"/>
        <v>6442.82</v>
      </c>
    </row>
    <row r="148" spans="1:38" s="2" customFormat="1" x14ac:dyDescent="0.35">
      <c r="A148" s="42">
        <v>139</v>
      </c>
      <c r="B148" s="26" t="s">
        <v>65</v>
      </c>
      <c r="C148" s="26"/>
      <c r="D148" s="26"/>
      <c r="E148" s="86"/>
      <c r="F148" s="86"/>
      <c r="G148" s="86"/>
      <c r="H148" s="86"/>
      <c r="I148" s="86"/>
      <c r="J148" s="86"/>
      <c r="K148" s="86"/>
      <c r="L148" s="86"/>
      <c r="M148" s="86"/>
      <c r="N148" s="86"/>
      <c r="O148" s="26"/>
      <c r="P148" s="26">
        <f>SUM(P142:P147)</f>
        <v>34650</v>
      </c>
      <c r="Q148" s="26">
        <f>SUM(Q142:Q147)</f>
        <v>32402</v>
      </c>
      <c r="R148" s="26">
        <f>SUM(R142:R147)</f>
        <v>2248</v>
      </c>
      <c r="S148" s="27">
        <f t="shared" si="39"/>
        <v>6.9378433430035177E-2</v>
      </c>
      <c r="U148" s="26">
        <f>SUM(U142:U147)</f>
        <v>27718.320000000003</v>
      </c>
      <c r="V148" s="26">
        <f>SUM(V142:V147)</f>
        <v>28310.400000000001</v>
      </c>
      <c r="W148" s="27">
        <f t="shared" si="40"/>
        <v>-2.0913869108172195E-2</v>
      </c>
      <c r="X148" s="936"/>
      <c r="Y148" s="71"/>
      <c r="Z148" s="60"/>
      <c r="AL148" s="1"/>
    </row>
    <row r="149" spans="1:38" ht="19.5" customHeight="1" x14ac:dyDescent="0.35">
      <c r="A149" s="42">
        <v>141</v>
      </c>
      <c r="B149" s="868" t="s">
        <v>66</v>
      </c>
      <c r="S149" s="4"/>
      <c r="Y149" s="70"/>
      <c r="Z149" s="58"/>
    </row>
    <row r="150" spans="1:38" ht="14" customHeight="1" x14ac:dyDescent="0.35">
      <c r="A150" s="42">
        <v>142</v>
      </c>
      <c r="C150" s="389" t="s">
        <v>67</v>
      </c>
      <c r="D150" s="390"/>
      <c r="E150" s="391"/>
      <c r="F150" s="392"/>
      <c r="G150" s="392"/>
      <c r="H150" s="392"/>
      <c r="I150" s="392"/>
      <c r="J150" s="392"/>
      <c r="K150" s="392"/>
      <c r="L150" s="392"/>
      <c r="M150" s="392"/>
      <c r="N150" s="392"/>
      <c r="O150" s="389"/>
      <c r="P150" s="397">
        <v>14000</v>
      </c>
      <c r="Q150" s="397">
        <v>13400</v>
      </c>
      <c r="R150" s="394">
        <f t="shared" ref="R150:R156" si="43">+P150-Q150</f>
        <v>600</v>
      </c>
      <c r="S150" s="395">
        <f t="shared" ref="S150:S158" si="44">IF(Q150=0,"NA",(+P150-Q150)/Q150)</f>
        <v>4.4776119402985072E-2</v>
      </c>
      <c r="T150" s="389"/>
      <c r="U150" s="393">
        <v>10455</v>
      </c>
      <c r="V150" s="393">
        <v>10050</v>
      </c>
      <c r="W150" s="395">
        <f t="shared" ref="W150:W158" si="45">IF(V150=0,"NA",(+U150-V150)/V150)</f>
        <v>4.0298507462686567E-2</v>
      </c>
      <c r="X150" s="1017" t="s">
        <v>655</v>
      </c>
      <c r="Y150" s="533" t="s">
        <v>488</v>
      </c>
      <c r="Z150" s="57" t="s">
        <v>136</v>
      </c>
      <c r="AH150" s="1">
        <f t="shared" ref="AH150:AH155" si="46">+$P150</f>
        <v>14000</v>
      </c>
      <c r="AL150" s="1">
        <f t="shared" ref="AL150:AL155" si="47">+$U150</f>
        <v>10455</v>
      </c>
    </row>
    <row r="151" spans="1:38" hidden="1" x14ac:dyDescent="0.35">
      <c r="C151" s="225"/>
      <c r="D151" s="237"/>
      <c r="E151" s="238"/>
      <c r="F151" s="239"/>
      <c r="G151" s="239"/>
      <c r="H151" s="239"/>
      <c r="I151" s="239"/>
      <c r="J151" s="239"/>
      <c r="K151" s="239"/>
      <c r="L151" s="239"/>
      <c r="M151" s="239"/>
      <c r="N151" s="239"/>
      <c r="O151" s="225"/>
      <c r="P151" s="250"/>
      <c r="Q151" s="250"/>
      <c r="R151" s="223"/>
      <c r="S151" s="224"/>
      <c r="T151" s="225"/>
      <c r="U151" s="222"/>
      <c r="V151" s="222"/>
      <c r="W151" s="224"/>
      <c r="X151" s="1017" t="s">
        <v>655</v>
      </c>
      <c r="Y151" s="226" t="s">
        <v>370</v>
      </c>
      <c r="Z151" s="57"/>
    </row>
    <row r="152" spans="1:38" x14ac:dyDescent="0.35">
      <c r="A152" s="42">
        <v>143</v>
      </c>
      <c r="C152" s="235" t="s">
        <v>68</v>
      </c>
      <c r="D152" s="243"/>
      <c r="E152" s="244"/>
      <c r="F152" s="245"/>
      <c r="G152" s="245"/>
      <c r="H152" s="245"/>
      <c r="I152" s="245"/>
      <c r="J152" s="245"/>
      <c r="K152" s="245"/>
      <c r="L152" s="245"/>
      <c r="M152" s="245"/>
      <c r="N152" s="245"/>
      <c r="O152" s="235"/>
      <c r="P152" s="232">
        <v>6000</v>
      </c>
      <c r="Q152" s="232">
        <v>6000</v>
      </c>
      <c r="R152" s="233">
        <f t="shared" si="43"/>
        <v>0</v>
      </c>
      <c r="S152" s="234">
        <f t="shared" si="44"/>
        <v>0</v>
      </c>
      <c r="T152" s="235"/>
      <c r="U152" s="232">
        <v>3112.4</v>
      </c>
      <c r="V152" s="232">
        <v>4800</v>
      </c>
      <c r="W152" s="234">
        <f t="shared" si="45"/>
        <v>-0.3515833333333333</v>
      </c>
      <c r="X152" s="923"/>
      <c r="Y152" s="631" t="s">
        <v>503</v>
      </c>
      <c r="Z152" s="57"/>
      <c r="AH152" s="1">
        <f t="shared" si="46"/>
        <v>6000</v>
      </c>
      <c r="AL152" s="1">
        <f t="shared" si="47"/>
        <v>3112.4</v>
      </c>
    </row>
    <row r="153" spans="1:38" x14ac:dyDescent="0.35">
      <c r="A153" s="42">
        <v>159</v>
      </c>
      <c r="C153" s="235" t="s">
        <v>93</v>
      </c>
      <c r="D153" s="243"/>
      <c r="E153" s="244"/>
      <c r="F153" s="245"/>
      <c r="G153" s="245"/>
      <c r="H153" s="245"/>
      <c r="I153" s="245"/>
      <c r="J153" s="245"/>
      <c r="K153" s="245"/>
      <c r="L153" s="245"/>
      <c r="M153" s="245"/>
      <c r="N153" s="245"/>
      <c r="O153" s="235"/>
      <c r="P153" s="232">
        <v>4500</v>
      </c>
      <c r="Q153" s="232">
        <v>4500</v>
      </c>
      <c r="R153" s="233">
        <f t="shared" si="43"/>
        <v>0</v>
      </c>
      <c r="S153" s="234">
        <f t="shared" si="44"/>
        <v>0</v>
      </c>
      <c r="T153" s="235"/>
      <c r="U153" s="232">
        <v>3715</v>
      </c>
      <c r="V153" s="232">
        <v>3750</v>
      </c>
      <c r="W153" s="234">
        <f t="shared" si="45"/>
        <v>-9.3333333333333341E-3</v>
      </c>
      <c r="X153" s="928"/>
      <c r="Y153" s="631"/>
      <c r="Z153" s="57"/>
      <c r="AH153" s="1">
        <f t="shared" si="46"/>
        <v>4500</v>
      </c>
      <c r="AL153" s="1">
        <f t="shared" si="47"/>
        <v>3715</v>
      </c>
    </row>
    <row r="154" spans="1:38" x14ac:dyDescent="0.35">
      <c r="A154" s="42">
        <v>145</v>
      </c>
      <c r="C154" s="1191" t="s">
        <v>96</v>
      </c>
      <c r="D154" s="1191"/>
      <c r="E154" s="399"/>
      <c r="F154" s="399"/>
      <c r="G154" s="399"/>
      <c r="H154" s="399"/>
      <c r="I154" s="399"/>
      <c r="J154" s="399"/>
      <c r="K154" s="399"/>
      <c r="L154" s="399"/>
      <c r="M154" s="399"/>
      <c r="N154" s="399"/>
      <c r="O154" s="398"/>
      <c r="P154" s="249">
        <v>6000</v>
      </c>
      <c r="Q154" s="232">
        <v>6000</v>
      </c>
      <c r="R154" s="233">
        <f t="shared" si="43"/>
        <v>0</v>
      </c>
      <c r="S154" s="234">
        <f t="shared" si="44"/>
        <v>0</v>
      </c>
      <c r="T154" s="235"/>
      <c r="U154" s="232">
        <v>5004.3100000000004</v>
      </c>
      <c r="V154" s="232">
        <v>5000</v>
      </c>
      <c r="W154" s="234">
        <f t="shared" si="45"/>
        <v>8.6200000000008004E-4</v>
      </c>
      <c r="X154" s="928"/>
      <c r="Y154" s="631"/>
      <c r="Z154" s="57"/>
      <c r="AH154" s="1">
        <f t="shared" si="46"/>
        <v>6000</v>
      </c>
      <c r="AL154" s="1">
        <f t="shared" si="47"/>
        <v>5004.3100000000004</v>
      </c>
    </row>
    <row r="155" spans="1:38" x14ac:dyDescent="0.35">
      <c r="A155" s="42">
        <v>146</v>
      </c>
      <c r="C155" s="235" t="s">
        <v>69</v>
      </c>
      <c r="D155" s="243"/>
      <c r="E155" s="244"/>
      <c r="F155" s="245"/>
      <c r="G155" s="245"/>
      <c r="H155" s="245"/>
      <c r="I155" s="245"/>
      <c r="J155" s="245"/>
      <c r="K155" s="245"/>
      <c r="L155" s="245"/>
      <c r="M155" s="245"/>
      <c r="N155" s="245"/>
      <c r="O155" s="235"/>
      <c r="P155" s="232">
        <v>10000</v>
      </c>
      <c r="Q155" s="232">
        <v>10000</v>
      </c>
      <c r="R155" s="233">
        <f t="shared" si="43"/>
        <v>0</v>
      </c>
      <c r="S155" s="234">
        <f t="shared" si="44"/>
        <v>0</v>
      </c>
      <c r="T155" s="235"/>
      <c r="U155" s="249">
        <v>850</v>
      </c>
      <c r="V155" s="232">
        <v>8333.2999999999993</v>
      </c>
      <c r="W155" s="234">
        <f t="shared" si="45"/>
        <v>-0.89799959199836799</v>
      </c>
      <c r="X155" s="927"/>
      <c r="Y155" s="533"/>
      <c r="Z155" s="57"/>
      <c r="AH155" s="1">
        <f t="shared" si="46"/>
        <v>10000</v>
      </c>
      <c r="AL155" s="1">
        <f t="shared" si="47"/>
        <v>850</v>
      </c>
    </row>
    <row r="156" spans="1:38" hidden="1" x14ac:dyDescent="0.35">
      <c r="A156" s="42">
        <v>149</v>
      </c>
      <c r="C156" s="1" t="s">
        <v>70</v>
      </c>
      <c r="P156" s="51">
        <v>0</v>
      </c>
      <c r="Q156" s="51">
        <v>0</v>
      </c>
      <c r="R156" s="37">
        <f t="shared" si="43"/>
        <v>0</v>
      </c>
      <c r="S156" s="3" t="str">
        <f t="shared" si="44"/>
        <v>NA</v>
      </c>
      <c r="U156" s="51">
        <v>0</v>
      </c>
      <c r="V156" s="51">
        <v>0</v>
      </c>
      <c r="W156" s="3" t="str">
        <f t="shared" si="45"/>
        <v>NA</v>
      </c>
      <c r="X156" s="935"/>
      <c r="Y156" s="71"/>
      <c r="Z156" s="61"/>
    </row>
    <row r="157" spans="1:38" s="2" customFormat="1" x14ac:dyDescent="0.35">
      <c r="A157" s="42">
        <v>150</v>
      </c>
      <c r="B157" s="26" t="s">
        <v>71</v>
      </c>
      <c r="C157" s="26"/>
      <c r="D157" s="26"/>
      <c r="E157" s="86"/>
      <c r="F157" s="86"/>
      <c r="G157" s="86"/>
      <c r="H157" s="86"/>
      <c r="I157" s="86"/>
      <c r="J157" s="86"/>
      <c r="K157" s="86"/>
      <c r="L157" s="86"/>
      <c r="M157" s="86"/>
      <c r="N157" s="86"/>
      <c r="O157" s="26"/>
      <c r="P157" s="26">
        <f>SUM(P150:P156)</f>
        <v>40500</v>
      </c>
      <c r="Q157" s="26">
        <f>SUM(Q150:Q156)</f>
        <v>39900</v>
      </c>
      <c r="R157" s="26">
        <f>SUM(R150:R156)</f>
        <v>600</v>
      </c>
      <c r="S157" s="27">
        <f t="shared" si="44"/>
        <v>1.5037593984962405E-2</v>
      </c>
      <c r="U157" s="26">
        <f>SUM(U150:U156)</f>
        <v>23136.710000000003</v>
      </c>
      <c r="V157" s="26">
        <f>SUM(V150:V156)</f>
        <v>31933.3</v>
      </c>
      <c r="W157" s="27">
        <f t="shared" si="45"/>
        <v>-0.27546761531066305</v>
      </c>
      <c r="X157" s="936"/>
      <c r="Y157" s="71"/>
      <c r="Z157" s="60"/>
      <c r="AA157" s="1"/>
    </row>
    <row r="158" spans="1:38" x14ac:dyDescent="0.35">
      <c r="A158" s="42">
        <v>151</v>
      </c>
      <c r="B158" s="26" t="s">
        <v>72</v>
      </c>
      <c r="C158" s="26"/>
      <c r="D158" s="26"/>
      <c r="E158" s="86"/>
      <c r="F158" s="86"/>
      <c r="G158" s="86"/>
      <c r="H158" s="86"/>
      <c r="I158" s="86"/>
      <c r="J158" s="86"/>
      <c r="K158" s="86"/>
      <c r="L158" s="86"/>
      <c r="M158" s="86"/>
      <c r="N158" s="86"/>
      <c r="O158" s="26"/>
      <c r="P158" s="26">
        <f>+P148+P157</f>
        <v>75150</v>
      </c>
      <c r="Q158" s="26">
        <f>+Q148+Q157</f>
        <v>72302</v>
      </c>
      <c r="R158" s="26">
        <f>+R148+R157</f>
        <v>2848</v>
      </c>
      <c r="S158" s="27">
        <f t="shared" si="44"/>
        <v>3.9390334983817873E-2</v>
      </c>
      <c r="U158" s="26">
        <f>+U148+U157</f>
        <v>50855.030000000006</v>
      </c>
      <c r="V158" s="26">
        <f>+V148+V157</f>
        <v>60243.7</v>
      </c>
      <c r="W158" s="27">
        <f t="shared" si="45"/>
        <v>-0.15584484352720684</v>
      </c>
      <c r="X158" s="936"/>
      <c r="Y158" s="70"/>
      <c r="Z158" s="58"/>
    </row>
    <row r="159" spans="1:38" ht="23" customHeight="1" x14ac:dyDescent="0.35">
      <c r="A159" s="42">
        <v>154</v>
      </c>
      <c r="B159" s="6" t="s">
        <v>74</v>
      </c>
      <c r="S159" s="4"/>
      <c r="Y159" s="70"/>
      <c r="Z159" s="58"/>
    </row>
    <row r="160" spans="1:38" x14ac:dyDescent="0.35">
      <c r="C160" s="225" t="s">
        <v>75</v>
      </c>
      <c r="D160" s="237"/>
      <c r="E160" s="238"/>
      <c r="F160" s="239"/>
      <c r="G160" s="239"/>
      <c r="H160" s="239"/>
      <c r="I160" s="239"/>
      <c r="J160" s="239"/>
      <c r="K160" s="239"/>
      <c r="L160" s="239"/>
      <c r="M160" s="239"/>
      <c r="N160" s="239"/>
      <c r="O160" s="225"/>
      <c r="P160" s="250">
        <v>0</v>
      </c>
      <c r="Q160" s="250">
        <v>-23257</v>
      </c>
      <c r="R160" s="223">
        <f t="shared" ref="R160:R165" si="48">+P160-Q160</f>
        <v>23257</v>
      </c>
      <c r="S160" s="224">
        <f t="shared" ref="S160:S166" si="49">IF(Q160=0,"NA",(+P160-Q160)/Q160)</f>
        <v>-1</v>
      </c>
      <c r="T160" s="225"/>
      <c r="U160" s="222">
        <v>0</v>
      </c>
      <c r="V160" s="222">
        <v>0</v>
      </c>
      <c r="W160" s="224" t="str">
        <f t="shared" ref="W160:W165" si="50">IF(V160=0,"NA",(+U160-V160)/V160)</f>
        <v>NA</v>
      </c>
      <c r="X160" s="930"/>
      <c r="Y160" s="226" t="s">
        <v>506</v>
      </c>
      <c r="Z160" s="57"/>
    </row>
    <row r="161" spans="1:38" hidden="1" x14ac:dyDescent="0.35">
      <c r="C161" s="230" t="s">
        <v>178</v>
      </c>
      <c r="D161" s="240"/>
      <c r="E161" s="241"/>
      <c r="F161" s="242"/>
      <c r="G161" s="242"/>
      <c r="H161" s="242"/>
      <c r="I161" s="242"/>
      <c r="J161" s="242"/>
      <c r="K161" s="242"/>
      <c r="L161" s="242"/>
      <c r="M161" s="242"/>
      <c r="N161" s="242"/>
      <c r="O161" s="230"/>
      <c r="P161" s="248">
        <v>0</v>
      </c>
      <c r="Q161" s="248">
        <v>0</v>
      </c>
      <c r="R161" s="228">
        <f t="shared" si="48"/>
        <v>0</v>
      </c>
      <c r="S161" s="229" t="str">
        <f t="shared" si="49"/>
        <v>NA</v>
      </c>
      <c r="T161" s="230"/>
      <c r="U161" s="227">
        <v>0</v>
      </c>
      <c r="V161" s="227">
        <v>0</v>
      </c>
      <c r="W161" s="229" t="str">
        <f t="shared" si="50"/>
        <v>NA</v>
      </c>
      <c r="X161" s="928"/>
      <c r="Y161" s="231"/>
      <c r="Z161" s="57"/>
    </row>
    <row r="162" spans="1:38" x14ac:dyDescent="0.35">
      <c r="A162" s="42">
        <v>156</v>
      </c>
      <c r="C162" s="230" t="s">
        <v>144</v>
      </c>
      <c r="D162" s="240"/>
      <c r="E162" s="241"/>
      <c r="F162" s="242"/>
      <c r="G162" s="242"/>
      <c r="H162" s="242"/>
      <c r="I162" s="242"/>
      <c r="J162" s="242"/>
      <c r="K162" s="242"/>
      <c r="L162" s="242"/>
      <c r="M162" s="242"/>
      <c r="N162" s="242"/>
      <c r="O162" s="230"/>
      <c r="P162" s="248">
        <v>0</v>
      </c>
      <c r="Q162" s="248">
        <v>0</v>
      </c>
      <c r="R162" s="228">
        <f t="shared" si="48"/>
        <v>0</v>
      </c>
      <c r="S162" s="229" t="str">
        <f t="shared" si="49"/>
        <v>NA</v>
      </c>
      <c r="T162" s="230"/>
      <c r="U162" s="248">
        <v>0</v>
      </c>
      <c r="V162" s="227">
        <v>0</v>
      </c>
      <c r="W162" s="229" t="str">
        <f t="shared" si="50"/>
        <v>NA</v>
      </c>
      <c r="X162" s="928"/>
      <c r="Y162" s="231" t="s">
        <v>507</v>
      </c>
      <c r="Z162" s="57"/>
    </row>
    <row r="163" spans="1:38" hidden="1" x14ac:dyDescent="0.35">
      <c r="A163" s="42">
        <v>157</v>
      </c>
      <c r="C163" s="230" t="s">
        <v>149</v>
      </c>
      <c r="D163" s="240"/>
      <c r="E163" s="241"/>
      <c r="F163" s="242"/>
      <c r="G163" s="242"/>
      <c r="H163" s="242"/>
      <c r="I163" s="242"/>
      <c r="J163" s="242"/>
      <c r="K163" s="242"/>
      <c r="L163" s="242"/>
      <c r="M163" s="242"/>
      <c r="N163" s="242"/>
      <c r="O163" s="230"/>
      <c r="P163" s="248">
        <v>0</v>
      </c>
      <c r="Q163" s="248">
        <v>0</v>
      </c>
      <c r="R163" s="228">
        <f t="shared" si="48"/>
        <v>0</v>
      </c>
      <c r="S163" s="229" t="str">
        <f t="shared" si="49"/>
        <v>NA</v>
      </c>
      <c r="T163" s="230"/>
      <c r="U163" s="248">
        <v>0</v>
      </c>
      <c r="V163" s="227">
        <v>0</v>
      </c>
      <c r="W163" s="288" t="s">
        <v>443</v>
      </c>
      <c r="X163" s="937"/>
      <c r="Y163" s="231" t="s">
        <v>508</v>
      </c>
      <c r="Z163" s="58"/>
    </row>
    <row r="164" spans="1:38" x14ac:dyDescent="0.35">
      <c r="A164" s="42">
        <v>157</v>
      </c>
      <c r="C164" s="235" t="s">
        <v>173</v>
      </c>
      <c r="D164" s="243"/>
      <c r="E164" s="244"/>
      <c r="F164" s="245"/>
      <c r="G164" s="245"/>
      <c r="H164" s="245"/>
      <c r="I164" s="245"/>
      <c r="J164" s="245"/>
      <c r="K164" s="245"/>
      <c r="L164" s="245"/>
      <c r="M164" s="245"/>
      <c r="N164" s="245"/>
      <c r="O164" s="235"/>
      <c r="P164" s="249">
        <v>0</v>
      </c>
      <c r="Q164" s="249">
        <v>0</v>
      </c>
      <c r="R164" s="233">
        <f t="shared" si="48"/>
        <v>0</v>
      </c>
      <c r="S164" s="234" t="str">
        <f t="shared" si="49"/>
        <v>NA</v>
      </c>
      <c r="T164" s="235"/>
      <c r="U164" s="232">
        <v>0</v>
      </c>
      <c r="V164" s="232">
        <v>0</v>
      </c>
      <c r="W164" s="234" t="str">
        <f t="shared" si="50"/>
        <v>NA</v>
      </c>
      <c r="X164" s="923"/>
      <c r="Y164" s="236" t="s">
        <v>531</v>
      </c>
      <c r="Z164" s="58"/>
      <c r="AA164" s="2"/>
    </row>
    <row r="165" spans="1:38" hidden="1" x14ac:dyDescent="0.35">
      <c r="A165" s="42">
        <v>158</v>
      </c>
      <c r="C165" s="1" t="s">
        <v>76</v>
      </c>
      <c r="P165" s="53">
        <v>0</v>
      </c>
      <c r="Q165" s="53">
        <v>0</v>
      </c>
      <c r="R165" s="37">
        <f t="shared" si="48"/>
        <v>0</v>
      </c>
      <c r="S165" s="3" t="str">
        <f t="shared" si="49"/>
        <v>NA</v>
      </c>
      <c r="U165" s="51">
        <v>0</v>
      </c>
      <c r="V165" s="51">
        <v>0</v>
      </c>
      <c r="W165" s="3" t="str">
        <f t="shared" si="50"/>
        <v>NA</v>
      </c>
      <c r="X165" s="935"/>
      <c r="Y165" s="61"/>
      <c r="Z165" s="61" t="s">
        <v>132</v>
      </c>
      <c r="AA165" s="2">
        <v>16</v>
      </c>
    </row>
    <row r="166" spans="1:38" s="2" customFormat="1" x14ac:dyDescent="0.35">
      <c r="A166" s="1"/>
      <c r="B166" s="28" t="s">
        <v>77</v>
      </c>
      <c r="C166" s="28"/>
      <c r="D166" s="28"/>
      <c r="E166" s="87"/>
      <c r="F166" s="87"/>
      <c r="G166" s="87"/>
      <c r="H166" s="87"/>
      <c r="I166" s="87"/>
      <c r="J166" s="87"/>
      <c r="K166" s="87"/>
      <c r="L166" s="87"/>
      <c r="M166" s="87"/>
      <c r="N166" s="87"/>
      <c r="O166" s="28"/>
      <c r="P166" s="28">
        <f>SUM(P160:P165)</f>
        <v>0</v>
      </c>
      <c r="Q166" s="28">
        <f>SUM(Q160:Q165)</f>
        <v>-23257</v>
      </c>
      <c r="R166" s="28">
        <f>SUM(R160:R165)</f>
        <v>23257</v>
      </c>
      <c r="S166" s="29">
        <f t="shared" si="49"/>
        <v>-1</v>
      </c>
      <c r="U166" s="28">
        <f>SUM(U160:U165)</f>
        <v>0</v>
      </c>
      <c r="V166" s="28">
        <f>SUM(V160:V165)</f>
        <v>0</v>
      </c>
      <c r="W166" s="767" t="s">
        <v>443</v>
      </c>
      <c r="X166" s="938"/>
      <c r="Y166" s="71"/>
      <c r="Z166" s="60"/>
      <c r="AA166" s="1"/>
    </row>
    <row r="167" spans="1:38" ht="7.5" customHeight="1" x14ac:dyDescent="0.35">
      <c r="A167" s="42">
        <v>160</v>
      </c>
      <c r="D167" s="1"/>
      <c r="E167" s="38"/>
      <c r="S167" s="4"/>
      <c r="Y167" s="70"/>
      <c r="Z167" s="58"/>
    </row>
    <row r="168" spans="1:38" x14ac:dyDescent="0.35">
      <c r="A168" s="42">
        <v>161</v>
      </c>
      <c r="B168" s="30" t="s">
        <v>78</v>
      </c>
      <c r="C168" s="31"/>
      <c r="D168" s="31"/>
      <c r="E168" s="88"/>
      <c r="F168" s="88"/>
      <c r="G168" s="88"/>
      <c r="H168" s="88"/>
      <c r="I168" s="88"/>
      <c r="J168" s="88"/>
      <c r="K168" s="88"/>
      <c r="L168" s="88"/>
      <c r="M168" s="88"/>
      <c r="N168" s="88"/>
      <c r="O168" s="31"/>
      <c r="P168" s="30">
        <f>P32+P78+P139+P158+P166</f>
        <v>416000</v>
      </c>
      <c r="Q168" s="30">
        <f>+Q78+Q139+Q158+Q166+Q32</f>
        <v>458000</v>
      </c>
      <c r="R168" s="30">
        <f>+R78+R139+R158+R166+R32</f>
        <v>-42000</v>
      </c>
      <c r="S168" s="32">
        <f>IF(Q168=0,"NA",(+P168-Q168)/Q168)</f>
        <v>-9.1703056768558958E-2</v>
      </c>
      <c r="U168" s="30">
        <f>+U78+U139+U158+U166+U32</f>
        <v>324361.66000000003</v>
      </c>
      <c r="V168" s="30">
        <f>+V78+V139+V158+V166+V32</f>
        <v>399910.16000000009</v>
      </c>
      <c r="W168" s="32">
        <f>IF(V168=0,"NA",(+U168-V168)/V168)</f>
        <v>-0.18891368001253092</v>
      </c>
      <c r="X168" s="939"/>
      <c r="Y168" s="70"/>
      <c r="Z168" s="58"/>
      <c r="AE168" s="380">
        <f t="shared" ref="AE168:AL168" si="51">+SUM(AE5:AE166)-AE68-AE91-AE102-AE122-AE123</f>
        <v>121076.01500000004</v>
      </c>
      <c r="AF168" s="380">
        <f t="shared" si="51"/>
        <v>77415.015000000043</v>
      </c>
      <c r="AG168" s="380">
        <f t="shared" si="51"/>
        <v>77097.970000000016</v>
      </c>
      <c r="AH168" s="380">
        <f t="shared" si="51"/>
        <v>115410.99999999999</v>
      </c>
      <c r="AI168" s="380">
        <f t="shared" si="51"/>
        <v>118943.25787</v>
      </c>
      <c r="AJ168" s="380">
        <f t="shared" si="51"/>
        <v>55047.727869999988</v>
      </c>
      <c r="AK168" s="380">
        <f t="shared" si="51"/>
        <v>75506.354259999993</v>
      </c>
      <c r="AL168" s="380">
        <f t="shared" si="51"/>
        <v>76322.595000000001</v>
      </c>
    </row>
    <row r="169" spans="1:38" x14ac:dyDescent="0.35">
      <c r="A169" s="42">
        <v>162</v>
      </c>
      <c r="B169" s="30" t="s">
        <v>79</v>
      </c>
      <c r="C169" s="31"/>
      <c r="D169" s="31"/>
      <c r="E169" s="88"/>
      <c r="F169" s="88"/>
      <c r="G169" s="88"/>
      <c r="H169" s="88"/>
      <c r="I169" s="88"/>
      <c r="J169" s="88"/>
      <c r="K169" s="88"/>
      <c r="L169" s="88"/>
      <c r="M169" s="88"/>
      <c r="N169" s="88"/>
      <c r="O169" s="31"/>
      <c r="P169" s="30">
        <f>ROUND(+P20-P168,0)</f>
        <v>0</v>
      </c>
      <c r="Q169" s="30">
        <f>ROUND(+Q20-Q168,0)</f>
        <v>0</v>
      </c>
      <c r="R169" s="30">
        <f>ROUND(+R20-R168,0)</f>
        <v>0</v>
      </c>
      <c r="S169" s="32" t="str">
        <f>IF(Q169=0,"NA",(+P169-Q169)/Q169)</f>
        <v>NA</v>
      </c>
      <c r="U169" s="30">
        <f>+U20-U168</f>
        <v>57944.659999999974</v>
      </c>
      <c r="V169" s="30">
        <f>+V20-V168</f>
        <v>-20566.090000000084</v>
      </c>
      <c r="W169" s="772" t="s">
        <v>443</v>
      </c>
      <c r="X169" s="940"/>
      <c r="Y169" s="70"/>
      <c r="Z169" s="58"/>
      <c r="AE169" s="1">
        <f>SUM(AE168:AH168)-P168</f>
        <v>-24999.999999999884</v>
      </c>
    </row>
    <row r="170" spans="1:38" ht="10" customHeight="1" x14ac:dyDescent="0.35">
      <c r="S170" s="4"/>
      <c r="Y170" s="70"/>
      <c r="Z170" s="58"/>
    </row>
    <row r="171" spans="1:38" hidden="1" x14ac:dyDescent="0.35">
      <c r="B171" s="99" t="s">
        <v>566</v>
      </c>
      <c r="C171" s="100"/>
      <c r="D171" s="100"/>
      <c r="E171" s="101"/>
      <c r="F171" s="101"/>
      <c r="G171" s="101"/>
      <c r="H171" s="101"/>
      <c r="I171" s="101"/>
      <c r="J171" s="101"/>
      <c r="K171" s="101"/>
      <c r="L171" s="101"/>
      <c r="M171" s="101"/>
      <c r="N171" s="101"/>
      <c r="O171" s="100"/>
      <c r="P171" s="102">
        <f>+P20-P18</f>
        <v>416000</v>
      </c>
      <c r="Q171" s="102">
        <f>+Q20-Q18</f>
        <v>458000</v>
      </c>
      <c r="R171" s="103">
        <f>+P171-Q171</f>
        <v>-42000</v>
      </c>
      <c r="S171" s="104">
        <f>IF(Q171=0,"NA",(+P171-Q171)/Q171)</f>
        <v>-9.1703056768558958E-2</v>
      </c>
      <c r="T171" s="100"/>
      <c r="U171" s="102">
        <f>+U20-U18</f>
        <v>382306.32</v>
      </c>
      <c r="V171" s="102">
        <f>+V20-V18</f>
        <v>379344.07</v>
      </c>
      <c r="W171" s="105">
        <f>IF(V171=0,"NA",(+U171-V171)/V171)</f>
        <v>7.8088738806435009E-3</v>
      </c>
      <c r="X171" s="941"/>
      <c r="Y171" s="61" t="s">
        <v>182</v>
      </c>
      <c r="Z171" s="58"/>
    </row>
    <row r="172" spans="1:38" hidden="1" x14ac:dyDescent="0.35">
      <c r="B172" s="106" t="s">
        <v>151</v>
      </c>
      <c r="C172" s="94"/>
      <c r="D172" s="94"/>
      <c r="E172" s="95"/>
      <c r="F172" s="95"/>
      <c r="G172" s="95"/>
      <c r="H172" s="95"/>
      <c r="I172" s="95"/>
      <c r="J172" s="95"/>
      <c r="K172" s="95"/>
      <c r="L172" s="95"/>
      <c r="M172" s="95"/>
      <c r="N172" s="95"/>
      <c r="O172" s="94"/>
      <c r="P172" s="96">
        <f>+P168-P166</f>
        <v>416000</v>
      </c>
      <c r="Q172" s="96">
        <f>+Q168-Q166</f>
        <v>481257</v>
      </c>
      <c r="R172" s="97">
        <f>+P172-Q172</f>
        <v>-65257</v>
      </c>
      <c r="S172" s="98">
        <f>IF(Q172=0,"NA",(+P172-Q172)/Q172)</f>
        <v>-0.13559698871912512</v>
      </c>
      <c r="T172" s="94"/>
      <c r="U172" s="96">
        <f>+U168-U166</f>
        <v>324361.66000000003</v>
      </c>
      <c r="V172" s="96">
        <f>+V168-V166</f>
        <v>399910.16000000009</v>
      </c>
      <c r="W172" s="107">
        <f>IF(V172=0,"NA",(+U172-V172)/V172)</f>
        <v>-0.18891368001253092</v>
      </c>
      <c r="X172" s="941"/>
      <c r="Y172" s="70"/>
      <c r="Z172" s="58"/>
    </row>
    <row r="173" spans="1:38" ht="15" hidden="1" thickBot="1" x14ac:dyDescent="0.4">
      <c r="B173" s="108" t="s">
        <v>160</v>
      </c>
      <c r="C173" s="109"/>
      <c r="D173" s="109"/>
      <c r="E173" s="110"/>
      <c r="F173" s="110"/>
      <c r="G173" s="110"/>
      <c r="H173" s="111"/>
      <c r="I173" s="111"/>
      <c r="J173" s="111"/>
      <c r="K173" s="111"/>
      <c r="L173" s="111"/>
      <c r="M173" s="111"/>
      <c r="N173" s="111"/>
      <c r="O173" s="109"/>
      <c r="P173" s="112">
        <f>+P171-P172</f>
        <v>0</v>
      </c>
      <c r="Q173" s="112">
        <f>+Q171-Q172</f>
        <v>-23257</v>
      </c>
      <c r="R173" s="113">
        <f>+P173-Q173</f>
        <v>23257</v>
      </c>
      <c r="S173" s="114">
        <f>IF(Q173=0,"NA",(+P173-Q173)/Q173)</f>
        <v>-1</v>
      </c>
      <c r="T173" s="109"/>
      <c r="U173" s="112">
        <f>+U171-U172</f>
        <v>57944.659999999974</v>
      </c>
      <c r="V173" s="112">
        <f>+V171-V172</f>
        <v>-20566.090000000084</v>
      </c>
      <c r="W173" s="768" t="s">
        <v>443</v>
      </c>
      <c r="X173" s="942"/>
      <c r="Y173" s="70"/>
      <c r="Z173" s="58"/>
    </row>
    <row r="174" spans="1:38" ht="15" thickBot="1" x14ac:dyDescent="0.4">
      <c r="S174" s="4"/>
      <c r="Y174" s="58"/>
      <c r="Z174" s="58"/>
    </row>
    <row r="175" spans="1:38" ht="29.5" thickBot="1" x14ac:dyDescent="0.4">
      <c r="B175" s="961" t="s">
        <v>590</v>
      </c>
      <c r="C175" s="951"/>
      <c r="D175" s="952"/>
      <c r="E175" s="953"/>
      <c r="F175" s="953"/>
      <c r="G175" s="953"/>
      <c r="H175" s="954"/>
      <c r="I175" s="954"/>
      <c r="J175" s="954"/>
      <c r="K175" s="954"/>
      <c r="L175" s="954"/>
      <c r="M175" s="954"/>
      <c r="N175" s="954"/>
      <c r="O175" s="952"/>
      <c r="P175" s="955" t="s">
        <v>703</v>
      </c>
      <c r="Q175" s="955" t="s">
        <v>598</v>
      </c>
      <c r="R175" s="955" t="s">
        <v>11</v>
      </c>
      <c r="S175" s="956"/>
      <c r="T175" s="956"/>
      <c r="U175" s="955" t="s">
        <v>599</v>
      </c>
      <c r="V175" s="957" t="str">
        <f>+X4</f>
        <v>2023 Budget Notes</v>
      </c>
      <c r="W175" s="952"/>
      <c r="X175" s="957"/>
      <c r="Y175" s="58"/>
      <c r="Z175" s="58"/>
    </row>
    <row r="176" spans="1:38" x14ac:dyDescent="0.35">
      <c r="B176" s="943" t="s">
        <v>591</v>
      </c>
      <c r="P176" s="51">
        <v>124.44</v>
      </c>
      <c r="Q176" s="51">
        <v>0</v>
      </c>
      <c r="R176" s="51">
        <v>0</v>
      </c>
      <c r="S176" s="4"/>
      <c r="U176" s="1">
        <f>+P176+Q176-R176</f>
        <v>124.44</v>
      </c>
      <c r="Y176" s="58"/>
      <c r="Z176" s="58"/>
    </row>
    <row r="177" spans="1:27" ht="29" customHeight="1" x14ac:dyDescent="0.35">
      <c r="B177" s="947" t="s">
        <v>592</v>
      </c>
      <c r="C177" s="944"/>
      <c r="D177" s="948"/>
      <c r="E177" s="946"/>
      <c r="F177" s="945"/>
      <c r="G177" s="945"/>
      <c r="H177" s="945"/>
      <c r="I177" s="945"/>
      <c r="J177" s="945"/>
      <c r="K177" s="945"/>
      <c r="L177" s="945"/>
      <c r="M177" s="945"/>
      <c r="N177" s="945"/>
      <c r="O177" s="944"/>
      <c r="P177" s="949">
        <v>4389.8100000000004</v>
      </c>
      <c r="Q177" s="949">
        <f>1273.81+250</f>
        <v>1523.81</v>
      </c>
      <c r="R177" s="949">
        <v>3268.16</v>
      </c>
      <c r="S177" s="945"/>
      <c r="T177" s="944"/>
      <c r="U177" s="944">
        <f t="shared" ref="U177:U186" si="52">+P177+Q177-R177</f>
        <v>2645.4600000000009</v>
      </c>
      <c r="V177" s="1188" t="s">
        <v>618</v>
      </c>
      <c r="W177" s="1188"/>
      <c r="X177" s="1188"/>
      <c r="Y177" s="58"/>
      <c r="Z177" s="58"/>
    </row>
    <row r="178" spans="1:27" ht="29" customHeight="1" x14ac:dyDescent="0.35">
      <c r="B178" s="947"/>
      <c r="C178" s="944"/>
      <c r="D178" s="948"/>
      <c r="E178" s="946"/>
      <c r="F178" s="945"/>
      <c r="G178" s="945"/>
      <c r="H178" s="945"/>
      <c r="I178" s="945"/>
      <c r="J178" s="945"/>
      <c r="K178" s="945"/>
      <c r="L178" s="945"/>
      <c r="M178" s="945"/>
      <c r="N178" s="945"/>
      <c r="O178" s="944"/>
      <c r="P178" s="949"/>
      <c r="Q178" s="949"/>
      <c r="R178" s="949"/>
      <c r="S178" s="945"/>
      <c r="T178" s="944"/>
      <c r="U178" s="944"/>
      <c r="V178" s="1189" t="s">
        <v>619</v>
      </c>
      <c r="W178" s="1189"/>
      <c r="X178" s="1189"/>
      <c r="Y178" s="58"/>
      <c r="Z178" s="58"/>
    </row>
    <row r="179" spans="1:27" ht="24.5" customHeight="1" x14ac:dyDescent="0.35">
      <c r="B179" s="947"/>
      <c r="C179" s="944"/>
      <c r="D179" s="948"/>
      <c r="E179" s="946"/>
      <c r="F179" s="945"/>
      <c r="G179" s="945"/>
      <c r="H179" s="945"/>
      <c r="I179" s="945"/>
      <c r="J179" s="945"/>
      <c r="K179" s="945"/>
      <c r="L179" s="945"/>
      <c r="M179" s="945"/>
      <c r="N179" s="945"/>
      <c r="O179" s="944"/>
      <c r="P179" s="949"/>
      <c r="Q179" s="949"/>
      <c r="R179" s="949"/>
      <c r="S179" s="945"/>
      <c r="T179" s="944"/>
      <c r="U179" s="944"/>
      <c r="V179" s="1189" t="s">
        <v>620</v>
      </c>
      <c r="W179" s="1189"/>
      <c r="X179" s="1189"/>
      <c r="Y179" s="58"/>
      <c r="Z179" s="58"/>
    </row>
    <row r="180" spans="1:27" x14ac:dyDescent="0.35">
      <c r="B180" s="943" t="s">
        <v>593</v>
      </c>
      <c r="P180" s="51">
        <v>29.28</v>
      </c>
      <c r="Q180" s="51">
        <f>29.5+11</f>
        <v>40.5</v>
      </c>
      <c r="R180" s="51">
        <v>0</v>
      </c>
      <c r="S180" s="38"/>
      <c r="U180" s="1">
        <f t="shared" si="52"/>
        <v>69.78</v>
      </c>
      <c r="V180" s="1">
        <f>420+150+1938.17+1650+695</f>
        <v>4853.17</v>
      </c>
      <c r="X180" s="1"/>
      <c r="Y180" s="58"/>
      <c r="Z180" s="58"/>
    </row>
    <row r="181" spans="1:27" x14ac:dyDescent="0.35">
      <c r="A181" s="1"/>
      <c r="B181" s="947" t="s">
        <v>594</v>
      </c>
      <c r="C181" s="944"/>
      <c r="D181" s="944"/>
      <c r="E181" s="945"/>
      <c r="F181" s="945"/>
      <c r="G181" s="945"/>
      <c r="H181" s="945"/>
      <c r="I181" s="945"/>
      <c r="J181" s="945"/>
      <c r="K181" s="945"/>
      <c r="L181" s="945"/>
      <c r="M181" s="945"/>
      <c r="N181" s="945"/>
      <c r="O181" s="944"/>
      <c r="P181" s="949">
        <v>2608.6</v>
      </c>
      <c r="Q181" s="949">
        <v>0</v>
      </c>
      <c r="R181" s="949">
        <v>0</v>
      </c>
      <c r="S181" s="945"/>
      <c r="T181" s="944"/>
      <c r="U181" s="944">
        <f t="shared" si="52"/>
        <v>2608.6</v>
      </c>
      <c r="V181" s="944">
        <f>80+110+100+130</f>
        <v>420</v>
      </c>
      <c r="W181" s="944"/>
      <c r="X181" s="958"/>
      <c r="Y181" s="66"/>
      <c r="Z181" s="66"/>
      <c r="AA181" s="2"/>
    </row>
    <row r="182" spans="1:27" ht="32" customHeight="1" x14ac:dyDescent="0.35">
      <c r="A182" s="1"/>
      <c r="B182" s="1" t="s">
        <v>595</v>
      </c>
      <c r="P182" s="51">
        <v>7361.2</v>
      </c>
      <c r="Q182" s="51">
        <f>7312.67+537.97+160</f>
        <v>8010.64</v>
      </c>
      <c r="R182" s="51">
        <f>3685.89+2894.65+417.67</f>
        <v>6998.21</v>
      </c>
      <c r="S182" s="38"/>
      <c r="U182" s="1">
        <f t="shared" si="52"/>
        <v>8373.630000000001</v>
      </c>
      <c r="V182" s="1135" t="s">
        <v>713</v>
      </c>
      <c r="W182" s="1135"/>
      <c r="X182" s="1135"/>
      <c r="Y182" s="66"/>
      <c r="Z182" s="66"/>
    </row>
    <row r="183" spans="1:27" ht="43" customHeight="1" x14ac:dyDescent="0.35">
      <c r="A183" s="1"/>
      <c r="B183" s="1"/>
      <c r="P183" s="51"/>
      <c r="Q183" s="51"/>
      <c r="R183" s="51"/>
      <c r="S183" s="38"/>
      <c r="V183" s="1190" t="s">
        <v>698</v>
      </c>
      <c r="W183" s="1190"/>
      <c r="X183" s="1190"/>
      <c r="Y183" s="66"/>
      <c r="Z183" s="66"/>
    </row>
    <row r="184" spans="1:27" x14ac:dyDescent="0.35">
      <c r="A184" s="1"/>
      <c r="B184" s="944" t="s">
        <v>596</v>
      </c>
      <c r="C184" s="944"/>
      <c r="D184" s="944"/>
      <c r="E184" s="945"/>
      <c r="F184" s="945"/>
      <c r="G184" s="945"/>
      <c r="H184" s="945"/>
      <c r="I184" s="945"/>
      <c r="J184" s="945"/>
      <c r="K184" s="945"/>
      <c r="L184" s="945"/>
      <c r="M184" s="945"/>
      <c r="N184" s="945"/>
      <c r="O184" s="944"/>
      <c r="P184" s="949">
        <v>3819.8</v>
      </c>
      <c r="Q184" s="949">
        <v>0</v>
      </c>
      <c r="R184" s="949">
        <v>0</v>
      </c>
      <c r="S184" s="945"/>
      <c r="T184" s="944"/>
      <c r="U184" s="944">
        <f t="shared" si="52"/>
        <v>3819.8</v>
      </c>
      <c r="V184" s="944"/>
      <c r="W184" s="944"/>
      <c r="X184" s="958"/>
      <c r="Y184" s="66"/>
      <c r="Z184" s="66"/>
    </row>
    <row r="185" spans="1:27" x14ac:dyDescent="0.35">
      <c r="B185" s="1" t="s">
        <v>597</v>
      </c>
      <c r="P185" s="51">
        <v>1200.33</v>
      </c>
      <c r="Q185" s="51">
        <f>590+100</f>
        <v>690</v>
      </c>
      <c r="R185" s="51">
        <f>343.75+200.92</f>
        <v>544.66999999999996</v>
      </c>
      <c r="S185" s="38"/>
      <c r="U185" s="1">
        <f t="shared" si="52"/>
        <v>1345.6599999999999</v>
      </c>
      <c r="W185" s="1"/>
      <c r="Y185" s="66"/>
      <c r="Z185" s="66"/>
    </row>
    <row r="186" spans="1:27" x14ac:dyDescent="0.35">
      <c r="A186" s="1"/>
      <c r="B186" s="944" t="s">
        <v>149</v>
      </c>
      <c r="C186" s="944"/>
      <c r="D186" s="944"/>
      <c r="E186" s="945"/>
      <c r="F186" s="945"/>
      <c r="G186" s="945"/>
      <c r="H186" s="945"/>
      <c r="I186" s="945"/>
      <c r="J186" s="945"/>
      <c r="K186" s="945"/>
      <c r="L186" s="945"/>
      <c r="M186" s="945"/>
      <c r="N186" s="945"/>
      <c r="O186" s="944"/>
      <c r="P186" s="949">
        <v>17778.62</v>
      </c>
      <c r="Q186" s="949">
        <v>0</v>
      </c>
      <c r="R186" s="949">
        <v>0</v>
      </c>
      <c r="S186" s="945"/>
      <c r="T186" s="944"/>
      <c r="U186" s="944">
        <f t="shared" si="52"/>
        <v>17778.62</v>
      </c>
      <c r="V186" s="944"/>
      <c r="W186" s="944"/>
      <c r="X186" s="958"/>
      <c r="Y186" s="66"/>
      <c r="Z186" s="66"/>
    </row>
    <row r="187" spans="1:27" x14ac:dyDescent="0.35">
      <c r="A187" s="1"/>
      <c r="B187" s="1" t="s">
        <v>601</v>
      </c>
      <c r="P187" s="51">
        <v>850</v>
      </c>
      <c r="Q187" s="51">
        <v>0</v>
      </c>
      <c r="R187" s="51">
        <v>0</v>
      </c>
      <c r="S187" s="38"/>
      <c r="U187" s="1">
        <f t="shared" ref="U187:U195" si="53">+P187+Q187-R187</f>
        <v>850</v>
      </c>
      <c r="W187" s="1"/>
      <c r="Y187" s="66"/>
      <c r="Z187" s="66"/>
    </row>
    <row r="188" spans="1:27" x14ac:dyDescent="0.35">
      <c r="A188" s="1"/>
      <c r="B188" s="944" t="s">
        <v>602</v>
      </c>
      <c r="C188" s="944"/>
      <c r="D188" s="944"/>
      <c r="E188" s="945"/>
      <c r="F188" s="945"/>
      <c r="G188" s="945"/>
      <c r="H188" s="945"/>
      <c r="I188" s="945"/>
      <c r="J188" s="945"/>
      <c r="K188" s="945"/>
      <c r="L188" s="945"/>
      <c r="M188" s="945"/>
      <c r="N188" s="945"/>
      <c r="O188" s="944"/>
      <c r="P188" s="949">
        <v>1518.92</v>
      </c>
      <c r="Q188" s="949">
        <v>0</v>
      </c>
      <c r="R188" s="949">
        <v>0</v>
      </c>
      <c r="S188" s="945"/>
      <c r="T188" s="944"/>
      <c r="U188" s="944">
        <f t="shared" si="53"/>
        <v>1518.92</v>
      </c>
      <c r="V188" s="944"/>
      <c r="W188" s="944"/>
      <c r="X188" s="958"/>
      <c r="Y188" s="66"/>
      <c r="Z188" s="66"/>
    </row>
    <row r="189" spans="1:27" x14ac:dyDescent="0.35">
      <c r="A189" s="1"/>
      <c r="B189" s="1" t="s">
        <v>603</v>
      </c>
      <c r="P189" s="51">
        <v>310.88</v>
      </c>
      <c r="Q189" s="51">
        <v>35</v>
      </c>
      <c r="R189" s="51">
        <v>0</v>
      </c>
      <c r="S189" s="38"/>
      <c r="U189" s="1">
        <f t="shared" si="53"/>
        <v>345.88</v>
      </c>
      <c r="W189" s="1"/>
      <c r="Y189" s="66"/>
      <c r="Z189" s="66"/>
    </row>
    <row r="190" spans="1:27" ht="31.5" customHeight="1" x14ac:dyDescent="0.35">
      <c r="A190" s="1"/>
      <c r="B190" s="944" t="s">
        <v>604</v>
      </c>
      <c r="C190" s="944"/>
      <c r="D190" s="944"/>
      <c r="E190" s="945"/>
      <c r="F190" s="945"/>
      <c r="G190" s="945"/>
      <c r="H190" s="945"/>
      <c r="I190" s="945"/>
      <c r="J190" s="945"/>
      <c r="K190" s="945"/>
      <c r="L190" s="945"/>
      <c r="M190" s="945"/>
      <c r="N190" s="945"/>
      <c r="O190" s="944"/>
      <c r="P190" s="949">
        <v>4209.55</v>
      </c>
      <c r="Q190" s="949">
        <v>810.32</v>
      </c>
      <c r="R190" s="949">
        <v>704.38</v>
      </c>
      <c r="S190" s="945"/>
      <c r="T190" s="944"/>
      <c r="U190" s="944">
        <f t="shared" si="53"/>
        <v>4315.49</v>
      </c>
      <c r="V190" s="1188" t="s">
        <v>615</v>
      </c>
      <c r="W190" s="1188"/>
      <c r="X190" s="1188"/>
      <c r="Y190" s="965"/>
      <c r="Z190" s="66"/>
    </row>
    <row r="191" spans="1:27" x14ac:dyDescent="0.35">
      <c r="A191" s="1"/>
      <c r="B191" s="1" t="s">
        <v>605</v>
      </c>
      <c r="P191" s="51">
        <v>9290.89</v>
      </c>
      <c r="Q191" s="51">
        <v>0</v>
      </c>
      <c r="R191" s="51">
        <v>0</v>
      </c>
      <c r="S191" s="38"/>
      <c r="U191" s="1">
        <f t="shared" si="53"/>
        <v>9290.89</v>
      </c>
      <c r="V191" s="298" t="s">
        <v>714</v>
      </c>
      <c r="W191" s="1"/>
      <c r="Y191" s="66"/>
      <c r="Z191" s="66"/>
    </row>
    <row r="192" spans="1:27" x14ac:dyDescent="0.35">
      <c r="A192" s="1"/>
      <c r="B192" s="944" t="s">
        <v>283</v>
      </c>
      <c r="C192" s="944"/>
      <c r="D192" s="944"/>
      <c r="E192" s="945"/>
      <c r="F192" s="945"/>
      <c r="G192" s="945"/>
      <c r="H192" s="945"/>
      <c r="I192" s="945"/>
      <c r="J192" s="945"/>
      <c r="K192" s="945"/>
      <c r="L192" s="945"/>
      <c r="M192" s="945"/>
      <c r="N192" s="945"/>
      <c r="O192" s="944"/>
      <c r="P192" s="949">
        <v>2935.51</v>
      </c>
      <c r="Q192" s="949">
        <v>2320</v>
      </c>
      <c r="R192" s="949">
        <v>485</v>
      </c>
      <c r="S192" s="945"/>
      <c r="T192" s="944"/>
      <c r="U192" s="944">
        <f t="shared" si="53"/>
        <v>4770.51</v>
      </c>
      <c r="V192" s="944"/>
      <c r="W192" s="944"/>
      <c r="X192" s="958"/>
      <c r="Y192" s="66"/>
      <c r="Z192" s="66"/>
    </row>
    <row r="193" spans="1:26" x14ac:dyDescent="0.35">
      <c r="A193" s="1"/>
      <c r="B193" s="1" t="s">
        <v>606</v>
      </c>
      <c r="P193" s="51">
        <v>1299.5999999999999</v>
      </c>
      <c r="Q193" s="51">
        <v>0</v>
      </c>
      <c r="R193" s="51">
        <v>0</v>
      </c>
      <c r="S193" s="38"/>
      <c r="U193" s="1">
        <f t="shared" si="53"/>
        <v>1299.5999999999999</v>
      </c>
      <c r="W193" s="1"/>
      <c r="Y193" s="66"/>
      <c r="Z193" s="66"/>
    </row>
    <row r="194" spans="1:26" x14ac:dyDescent="0.35">
      <c r="A194" s="1"/>
      <c r="B194" s="944" t="s">
        <v>607</v>
      </c>
      <c r="C194" s="944"/>
      <c r="D194" s="944"/>
      <c r="E194" s="945"/>
      <c r="F194" s="945"/>
      <c r="G194" s="945"/>
      <c r="H194" s="945"/>
      <c r="I194" s="945"/>
      <c r="J194" s="945"/>
      <c r="K194" s="945"/>
      <c r="L194" s="945"/>
      <c r="M194" s="945"/>
      <c r="N194" s="945"/>
      <c r="O194" s="944"/>
      <c r="P194" s="949">
        <v>4035.81</v>
      </c>
      <c r="Q194" s="949">
        <v>0</v>
      </c>
      <c r="R194" s="949">
        <v>145.28</v>
      </c>
      <c r="S194" s="945"/>
      <c r="T194" s="944"/>
      <c r="U194" s="944">
        <f t="shared" si="53"/>
        <v>3890.5299999999997</v>
      </c>
      <c r="V194" s="944"/>
      <c r="W194" s="944"/>
      <c r="X194" s="958"/>
      <c r="Y194" s="66"/>
      <c r="Z194" s="66"/>
    </row>
    <row r="195" spans="1:26" x14ac:dyDescent="0.35">
      <c r="A195" s="1"/>
      <c r="B195" s="1" t="s">
        <v>608</v>
      </c>
      <c r="P195" s="51">
        <v>552</v>
      </c>
      <c r="Q195" s="51">
        <v>0</v>
      </c>
      <c r="R195" s="51">
        <v>0</v>
      </c>
      <c r="S195" s="38"/>
      <c r="U195" s="1">
        <f t="shared" si="53"/>
        <v>552</v>
      </c>
      <c r="W195" s="1"/>
      <c r="Y195" s="66"/>
      <c r="Z195" s="66"/>
    </row>
    <row r="196" spans="1:26" x14ac:dyDescent="0.35">
      <c r="A196" s="1"/>
      <c r="B196" s="944" t="s">
        <v>609</v>
      </c>
      <c r="C196" s="944"/>
      <c r="D196" s="944"/>
      <c r="E196" s="945"/>
      <c r="F196" s="945"/>
      <c r="G196" s="945"/>
      <c r="H196" s="945"/>
      <c r="I196" s="945"/>
      <c r="J196" s="945"/>
      <c r="K196" s="945"/>
      <c r="L196" s="945"/>
      <c r="M196" s="945"/>
      <c r="N196" s="945"/>
      <c r="O196" s="944"/>
      <c r="P196" s="949">
        <v>550</v>
      </c>
      <c r="Q196" s="949">
        <v>0</v>
      </c>
      <c r="R196" s="949">
        <v>550</v>
      </c>
      <c r="S196" s="945"/>
      <c r="T196" s="944"/>
      <c r="U196" s="944">
        <f>+P196+Q196-R196</f>
        <v>0</v>
      </c>
      <c r="V196" s="944"/>
      <c r="W196" s="944"/>
      <c r="X196" s="958"/>
      <c r="Y196" s="66"/>
      <c r="Z196" s="66"/>
    </row>
    <row r="197" spans="1:26" x14ac:dyDescent="0.35">
      <c r="A197" s="1"/>
      <c r="B197" s="1" t="s">
        <v>610</v>
      </c>
      <c r="P197" s="51">
        <v>5088.47</v>
      </c>
      <c r="Q197" s="51">
        <v>0</v>
      </c>
      <c r="R197" s="51">
        <v>0</v>
      </c>
      <c r="S197" s="38"/>
      <c r="U197" s="1">
        <f>+P197+Q197-R197</f>
        <v>5088.47</v>
      </c>
      <c r="W197" s="1"/>
      <c r="Y197" s="66"/>
      <c r="Z197" s="66"/>
    </row>
    <row r="198" spans="1:26" ht="15" thickBot="1" x14ac:dyDescent="0.4">
      <c r="A198" s="1"/>
      <c r="B198" s="944" t="s">
        <v>611</v>
      </c>
      <c r="C198" s="944"/>
      <c r="D198" s="944"/>
      <c r="E198" s="945"/>
      <c r="F198" s="945"/>
      <c r="G198" s="945"/>
      <c r="H198" s="945"/>
      <c r="I198" s="945"/>
      <c r="J198" s="945"/>
      <c r="K198" s="945"/>
      <c r="L198" s="945"/>
      <c r="M198" s="945"/>
      <c r="N198" s="945"/>
      <c r="O198" s="944"/>
      <c r="P198" s="949">
        <v>1321.49</v>
      </c>
      <c r="Q198" s="949">
        <v>0</v>
      </c>
      <c r="R198" s="949">
        <v>52.64</v>
      </c>
      <c r="S198" s="945"/>
      <c r="T198" s="944"/>
      <c r="U198" s="944">
        <f>+P198+Q198-R198</f>
        <v>1268.8499999999999</v>
      </c>
      <c r="V198" s="944"/>
      <c r="W198" s="944"/>
      <c r="X198" s="958"/>
      <c r="Y198" s="66"/>
      <c r="Z198" s="66"/>
    </row>
    <row r="199" spans="1:26" ht="15" thickBot="1" x14ac:dyDescent="0.4">
      <c r="B199" s="962" t="s">
        <v>612</v>
      </c>
      <c r="C199" s="959"/>
      <c r="D199" s="959"/>
      <c r="E199" s="960"/>
      <c r="F199" s="960"/>
      <c r="G199" s="960"/>
      <c r="H199" s="960"/>
      <c r="I199" s="960"/>
      <c r="J199" s="960"/>
      <c r="K199" s="960"/>
      <c r="L199" s="960"/>
      <c r="M199" s="960"/>
      <c r="N199" s="960"/>
      <c r="O199" s="959"/>
      <c r="P199" s="963">
        <f>SUM(P176:P198)</f>
        <v>69275.199999999997</v>
      </c>
      <c r="Q199" s="963">
        <f>SUM(Q176:Q198)</f>
        <v>13430.27</v>
      </c>
      <c r="R199" s="963">
        <f>SUM(R176:R198)</f>
        <v>12748.339999999998</v>
      </c>
      <c r="S199" s="963">
        <f>SUM(S176:S198)</f>
        <v>0</v>
      </c>
      <c r="T199" s="963"/>
      <c r="U199" s="963">
        <f>SUM(U176:U198)</f>
        <v>69957.13</v>
      </c>
      <c r="V199" s="959"/>
      <c r="W199" s="960"/>
      <c r="X199" s="964"/>
      <c r="Z199" s="46"/>
    </row>
    <row r="200" spans="1:26" ht="15" thickBot="1" x14ac:dyDescent="0.4">
      <c r="Z200" s="46"/>
    </row>
    <row r="201" spans="1:26" ht="29.5" thickBot="1" x14ac:dyDescent="0.4">
      <c r="B201" s="961" t="s">
        <v>74</v>
      </c>
      <c r="C201" s="951"/>
      <c r="D201" s="952"/>
      <c r="E201" s="953"/>
      <c r="F201" s="953"/>
      <c r="G201" s="953"/>
      <c r="H201" s="954"/>
      <c r="I201" s="954"/>
      <c r="J201" s="954"/>
      <c r="K201" s="954"/>
      <c r="L201" s="954"/>
      <c r="M201" s="954"/>
      <c r="N201" s="954"/>
      <c r="O201" s="952"/>
      <c r="P201" s="955" t="s">
        <v>600</v>
      </c>
      <c r="Q201" s="955" t="s">
        <v>598</v>
      </c>
      <c r="R201" s="955" t="s">
        <v>11</v>
      </c>
      <c r="S201" s="956"/>
      <c r="T201" s="956"/>
      <c r="U201" s="955" t="s">
        <v>599</v>
      </c>
      <c r="V201" s="952"/>
      <c r="W201" s="952"/>
      <c r="X201" s="957"/>
      <c r="Y201" s="58"/>
      <c r="Z201" s="58"/>
    </row>
    <row r="202" spans="1:26" ht="26.5" customHeight="1" x14ac:dyDescent="0.35">
      <c r="B202" s="1" t="s">
        <v>613</v>
      </c>
      <c r="P202" s="51">
        <v>27911.99</v>
      </c>
      <c r="Q202" s="51">
        <v>845</v>
      </c>
      <c r="R202" s="51">
        <v>221</v>
      </c>
      <c r="S202" s="38"/>
      <c r="U202" s="1">
        <f>+P202+Q202-R202</f>
        <v>28535.99</v>
      </c>
      <c r="V202" s="1184" t="s">
        <v>616</v>
      </c>
      <c r="W202" s="1184"/>
      <c r="X202" s="1184"/>
      <c r="Y202" s="58"/>
      <c r="Z202" s="58"/>
    </row>
    <row r="203" spans="1:26" ht="26.5" customHeight="1" x14ac:dyDescent="0.35">
      <c r="B203" s="1"/>
      <c r="P203" s="51"/>
      <c r="Q203" s="51"/>
      <c r="R203" s="51"/>
      <c r="S203" s="38"/>
      <c r="V203" s="1185" t="s">
        <v>617</v>
      </c>
      <c r="W203" s="1185"/>
      <c r="X203" s="1185"/>
      <c r="Y203" s="58"/>
      <c r="Z203" s="58"/>
    </row>
    <row r="204" spans="1:26" x14ac:dyDescent="0.35">
      <c r="B204" s="944" t="s">
        <v>382</v>
      </c>
      <c r="C204" s="944"/>
      <c r="D204" s="948"/>
      <c r="E204" s="946"/>
      <c r="F204" s="945"/>
      <c r="G204" s="945"/>
      <c r="H204" s="945"/>
      <c r="I204" s="945"/>
      <c r="J204" s="945"/>
      <c r="K204" s="945"/>
      <c r="L204" s="945"/>
      <c r="M204" s="945"/>
      <c r="N204" s="945"/>
      <c r="O204" s="944"/>
      <c r="P204" s="949">
        <v>101904.66</v>
      </c>
      <c r="Q204" s="949">
        <v>0</v>
      </c>
      <c r="R204" s="949">
        <v>0</v>
      </c>
      <c r="S204" s="945"/>
      <c r="T204" s="944"/>
      <c r="U204" s="944">
        <f>+P204+Q204-R204</f>
        <v>101904.66</v>
      </c>
      <c r="V204" s="944"/>
      <c r="W204" s="945"/>
      <c r="X204" s="950"/>
      <c r="Y204" s="58"/>
      <c r="Z204" s="58"/>
    </row>
    <row r="205" spans="1:26" ht="49.5" customHeight="1" x14ac:dyDescent="0.35">
      <c r="B205" s="1" t="s">
        <v>614</v>
      </c>
      <c r="P205" s="51">
        <v>200536.49</v>
      </c>
      <c r="Q205" s="51">
        <f>3140+395+315</f>
        <v>3850</v>
      </c>
      <c r="R205" s="51">
        <v>0</v>
      </c>
      <c r="S205" s="38"/>
      <c r="U205" s="1">
        <f>+P205+Q205-R205</f>
        <v>204386.49</v>
      </c>
      <c r="V205" s="1135" t="s">
        <v>621</v>
      </c>
      <c r="W205" s="1135"/>
      <c r="X205" s="1135"/>
      <c r="Y205" s="58"/>
      <c r="Z205" s="58"/>
    </row>
    <row r="206" spans="1:26" ht="15" thickBot="1" x14ac:dyDescent="0.4">
      <c r="B206" s="944" t="s">
        <v>383</v>
      </c>
      <c r="C206" s="944"/>
      <c r="D206" s="948"/>
      <c r="E206" s="946"/>
      <c r="F206" s="945"/>
      <c r="G206" s="945"/>
      <c r="H206" s="945"/>
      <c r="I206" s="945"/>
      <c r="J206" s="945"/>
      <c r="K206" s="945"/>
      <c r="L206" s="945"/>
      <c r="M206" s="945"/>
      <c r="N206" s="945"/>
      <c r="O206" s="944"/>
      <c r="P206" s="949">
        <v>53860</v>
      </c>
      <c r="Q206" s="949">
        <v>0</v>
      </c>
      <c r="R206" s="949">
        <v>0</v>
      </c>
      <c r="S206" s="945"/>
      <c r="T206" s="944"/>
      <c r="U206" s="944">
        <f>+P206+Q206-R206</f>
        <v>53860</v>
      </c>
      <c r="V206" s="944"/>
      <c r="W206" s="945"/>
      <c r="X206" s="950"/>
      <c r="Y206" s="58"/>
      <c r="Z206" s="58"/>
    </row>
    <row r="207" spans="1:26" ht="15" thickBot="1" x14ac:dyDescent="0.4">
      <c r="B207" s="962" t="s">
        <v>77</v>
      </c>
      <c r="C207" s="959"/>
      <c r="D207" s="959"/>
      <c r="E207" s="960"/>
      <c r="F207" s="960"/>
      <c r="G207" s="960"/>
      <c r="H207" s="960"/>
      <c r="I207" s="960"/>
      <c r="J207" s="960"/>
      <c r="K207" s="960"/>
      <c r="L207" s="960"/>
      <c r="M207" s="960"/>
      <c r="N207" s="960"/>
      <c r="O207" s="959"/>
      <c r="P207" s="963">
        <f>SUM(P202:P206)</f>
        <v>384213.14</v>
      </c>
      <c r="Q207" s="963">
        <f>SUM(Q202:Q206)</f>
        <v>4695</v>
      </c>
      <c r="R207" s="963">
        <f>SUM(R202:R206)</f>
        <v>221</v>
      </c>
      <c r="S207" s="963">
        <f>SUM(S202:S206)</f>
        <v>0</v>
      </c>
      <c r="T207" s="963"/>
      <c r="U207" s="963">
        <f>SUM(U202:U206)</f>
        <v>388687.14</v>
      </c>
      <c r="V207" s="959"/>
      <c r="W207" s="960"/>
      <c r="X207" s="964"/>
      <c r="Y207" s="887"/>
      <c r="Z207" s="46"/>
    </row>
    <row r="208" spans="1:26" x14ac:dyDescent="0.35">
      <c r="Z208" s="46"/>
    </row>
    <row r="209" spans="26:26" x14ac:dyDescent="0.35">
      <c r="Z209" s="46"/>
    </row>
    <row r="210" spans="26:26" x14ac:dyDescent="0.35">
      <c r="Z210" s="46"/>
    </row>
    <row r="211" spans="26:26" x14ac:dyDescent="0.35">
      <c r="Z211" s="46"/>
    </row>
    <row r="212" spans="26:26" x14ac:dyDescent="0.35">
      <c r="Z212" s="46"/>
    </row>
    <row r="213" spans="26:26" x14ac:dyDescent="0.35">
      <c r="Z213" s="46"/>
    </row>
    <row r="214" spans="26:26" x14ac:dyDescent="0.35">
      <c r="Z214" s="46"/>
    </row>
    <row r="215" spans="26:26" x14ac:dyDescent="0.35">
      <c r="Z215" s="46"/>
    </row>
    <row r="216" spans="26:26" x14ac:dyDescent="0.35">
      <c r="Z216" s="46"/>
    </row>
    <row r="217" spans="26:26" x14ac:dyDescent="0.35">
      <c r="Z217" s="46"/>
    </row>
    <row r="218" spans="26:26" x14ac:dyDescent="0.35">
      <c r="Z218" s="46"/>
    </row>
    <row r="219" spans="26:26" x14ac:dyDescent="0.35">
      <c r="Z219" s="46"/>
    </row>
    <row r="220" spans="26:26" x14ac:dyDescent="0.35">
      <c r="Z220" s="46"/>
    </row>
    <row r="221" spans="26:26" x14ac:dyDescent="0.35">
      <c r="Z221" s="46"/>
    </row>
    <row r="222" spans="26:26" x14ac:dyDescent="0.35">
      <c r="Z222" s="46"/>
    </row>
    <row r="223" spans="26:26" x14ac:dyDescent="0.35">
      <c r="Z223" s="46"/>
    </row>
    <row r="224" spans="26:26" x14ac:dyDescent="0.35">
      <c r="Z224" s="46"/>
    </row>
  </sheetData>
  <mergeCells count="38">
    <mergeCell ref="C32:D32"/>
    <mergeCell ref="V202:X202"/>
    <mergeCell ref="V203:X203"/>
    <mergeCell ref="V205:X205"/>
    <mergeCell ref="X118:X119"/>
    <mergeCell ref="V177:X177"/>
    <mergeCell ref="V179:X179"/>
    <mergeCell ref="V190:X190"/>
    <mergeCell ref="V178:X178"/>
    <mergeCell ref="V182:X182"/>
    <mergeCell ref="V183:X183"/>
    <mergeCell ref="C154:D154"/>
    <mergeCell ref="E121:H121"/>
    <mergeCell ref="I121:L121"/>
    <mergeCell ref="E120:O120"/>
    <mergeCell ref="L85:O85"/>
    <mergeCell ref="C134:D134"/>
    <mergeCell ref="G79:H79"/>
    <mergeCell ref="I77:L77"/>
    <mergeCell ref="C85:D85"/>
    <mergeCell ref="C116:D116"/>
    <mergeCell ref="G93:H93"/>
    <mergeCell ref="Y81:Y82"/>
    <mergeCell ref="AE3:AH3"/>
    <mergeCell ref="AI3:AL3"/>
    <mergeCell ref="B1:Y1"/>
    <mergeCell ref="O79:O80"/>
    <mergeCell ref="P2:S2"/>
    <mergeCell ref="U2:W2"/>
    <mergeCell ref="R3:S3"/>
    <mergeCell ref="U3:U4"/>
    <mergeCell ref="V3:V4"/>
    <mergeCell ref="W3:W4"/>
    <mergeCell ref="P3:P4"/>
    <mergeCell ref="Q3:Q4"/>
    <mergeCell ref="E77:H77"/>
    <mergeCell ref="E74:M74"/>
    <mergeCell ref="G80:H80"/>
  </mergeCells>
  <pageMargins left="0" right="0" top="0.25" bottom="0.5" header="0.3" footer="0.3"/>
  <pageSetup scale="69" fitToHeight="0" orientation="landscape" r:id="rId1"/>
  <headerFooter>
    <oddFooter>&amp;C&amp;P of &amp;N&amp;R&amp;D</oddFooter>
  </headerFooter>
  <rowBreaks count="4" manualBreakCount="4">
    <brk id="51" max="16383" man="1"/>
    <brk id="78" max="16383" man="1"/>
    <brk id="122" max="16383" man="1"/>
    <brk id="173"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3" customWidth="1"/>
    <col min="2" max="2" width="33.26953125" style="343" customWidth="1"/>
    <col min="3" max="3" width="8.81640625" style="375" customWidth="1"/>
    <col min="4" max="4" width="15.7265625" style="343" customWidth="1"/>
    <col min="5" max="5" width="10.1796875" style="343" customWidth="1"/>
    <col min="6" max="6" width="13.90625" style="343" customWidth="1"/>
    <col min="7" max="7" width="11.26953125" style="375" customWidth="1"/>
    <col min="8" max="8" width="11.36328125" style="343" customWidth="1"/>
    <col min="9" max="9" width="50.90625" style="343" customWidth="1"/>
    <col min="10" max="10" width="8.7265625" style="343"/>
    <col min="11" max="11" width="9.453125" style="343" bestFit="1" customWidth="1"/>
    <col min="12" max="16384" width="8.7265625" style="343"/>
  </cols>
  <sheetData>
    <row r="1" spans="1:9" ht="20" x14ac:dyDescent="0.35">
      <c r="A1" s="1216" t="s">
        <v>83</v>
      </c>
      <c r="B1" s="1216"/>
      <c r="C1" s="1216"/>
      <c r="D1" s="1216"/>
      <c r="E1" s="1216"/>
      <c r="F1" s="1216"/>
      <c r="G1" s="1216"/>
      <c r="H1" s="1216"/>
      <c r="I1" s="1216"/>
    </row>
    <row r="2" spans="1:9" ht="18.5" customHeight="1" x14ac:dyDescent="0.35">
      <c r="A2" s="1217" t="s">
        <v>413</v>
      </c>
      <c r="B2" s="1217"/>
      <c r="C2" s="1217"/>
      <c r="D2" s="1217"/>
      <c r="E2" s="1217"/>
      <c r="F2" s="1217"/>
      <c r="G2" s="1217"/>
      <c r="H2" s="1217"/>
      <c r="I2" s="1217"/>
    </row>
    <row r="3" spans="1:9" ht="18.5" customHeight="1" thickBot="1" x14ac:dyDescent="0.4">
      <c r="A3" s="691"/>
      <c r="B3" s="691"/>
      <c r="C3" s="691"/>
      <c r="D3" s="691"/>
      <c r="E3" s="691"/>
      <c r="F3" s="691"/>
      <c r="G3" s="1217"/>
      <c r="H3" s="1217"/>
      <c r="I3" s="691"/>
    </row>
    <row r="4" spans="1:9" ht="18.5" customHeight="1" x14ac:dyDescent="0.35">
      <c r="A4" s="1197" t="s">
        <v>412</v>
      </c>
      <c r="B4" s="1198"/>
      <c r="C4" s="1198"/>
      <c r="D4" s="1198"/>
      <c r="E4" s="733"/>
      <c r="F4" s="1209" t="str">
        <f>+'New Year-Full Year'!P3&amp;" Proposed"</f>
        <v>2023 Budget Proposed</v>
      </c>
      <c r="G4" s="1209" t="str">
        <f>+'New Year-Full Year'!P3&amp;" Current"</f>
        <v>2023 Budget Current</v>
      </c>
      <c r="H4" s="1209" t="str">
        <f>+'New Year-Full Year'!Q3</f>
        <v>2022 Budget</v>
      </c>
      <c r="I4" s="734"/>
    </row>
    <row r="5" spans="1:9" ht="38" customHeight="1" thickBot="1" x14ac:dyDescent="0.4">
      <c r="A5" s="735"/>
      <c r="B5" s="736" t="s">
        <v>416</v>
      </c>
      <c r="C5" s="737" t="s">
        <v>421</v>
      </c>
      <c r="D5" s="738" t="s">
        <v>417</v>
      </c>
      <c r="E5" s="738"/>
      <c r="F5" s="1202"/>
      <c r="G5" s="1202"/>
      <c r="H5" s="1202"/>
      <c r="I5" s="739" t="s">
        <v>429</v>
      </c>
    </row>
    <row r="6" spans="1:9" ht="18.5" customHeight="1" x14ac:dyDescent="0.35">
      <c r="A6" s="742" t="s">
        <v>361</v>
      </c>
      <c r="B6" s="743" t="s">
        <v>418</v>
      </c>
      <c r="C6" s="744" t="s">
        <v>422</v>
      </c>
      <c r="D6" s="1210" t="s">
        <v>105</v>
      </c>
      <c r="E6" s="1210"/>
      <c r="F6" s="720">
        <f>ROUND(+H6*1.01,0)-13</f>
        <v>16950</v>
      </c>
      <c r="G6" s="745">
        <f>+'New Year-Full Year'!P110</f>
        <v>17299</v>
      </c>
      <c r="H6" s="745">
        <f>+'New Year-Full Year'!Q110</f>
        <v>16795</v>
      </c>
      <c r="I6" s="1215" t="s">
        <v>441</v>
      </c>
    </row>
    <row r="7" spans="1:9" ht="18.5" customHeight="1" x14ac:dyDescent="0.35">
      <c r="A7" s="746"/>
      <c r="B7" s="722" t="s">
        <v>414</v>
      </c>
      <c r="C7" s="722"/>
      <c r="D7" s="1211"/>
      <c r="E7" s="1211"/>
      <c r="F7" s="723">
        <f>+F6-$H6</f>
        <v>155</v>
      </c>
      <c r="G7" s="724">
        <f>+G6-$H6</f>
        <v>504</v>
      </c>
      <c r="H7" s="722"/>
      <c r="I7" s="1204"/>
    </row>
    <row r="8" spans="1:9" ht="16" thickBot="1" x14ac:dyDescent="0.4">
      <c r="A8" s="361"/>
      <c r="B8" s="348" t="s">
        <v>420</v>
      </c>
      <c r="C8" s="725"/>
      <c r="D8" s="1212"/>
      <c r="E8" s="1212"/>
      <c r="F8" s="765">
        <f>+F7/$H6</f>
        <v>9.2289371836856201E-3</v>
      </c>
      <c r="G8" s="726">
        <f>+G7/$H6</f>
        <v>3.00089312295326E-2</v>
      </c>
      <c r="H8" s="348"/>
      <c r="I8" s="1208"/>
    </row>
    <row r="9" spans="1:9" ht="18.5" customHeight="1" x14ac:dyDescent="0.35">
      <c r="A9" s="747" t="s">
        <v>362</v>
      </c>
      <c r="B9" s="719" t="s">
        <v>419</v>
      </c>
      <c r="C9" s="718" t="s">
        <v>422</v>
      </c>
      <c r="D9" s="1213" t="s">
        <v>436</v>
      </c>
      <c r="E9" s="1213"/>
      <c r="F9" s="720">
        <f>ROUND(+H9*1.01,0)</f>
        <v>3200</v>
      </c>
      <c r="G9" s="721">
        <f>+'New Year-Full Year'!P112</f>
        <v>3263</v>
      </c>
      <c r="H9" s="721">
        <f>+'New Year-Full Year'!Q112</f>
        <v>3168</v>
      </c>
      <c r="I9" s="1215" t="s">
        <v>441</v>
      </c>
    </row>
    <row r="10" spans="1:9" ht="18.5" customHeight="1" x14ac:dyDescent="0.35">
      <c r="A10" s="746"/>
      <c r="B10" s="722" t="s">
        <v>414</v>
      </c>
      <c r="C10" s="722"/>
      <c r="D10" s="1211"/>
      <c r="E10" s="1211"/>
      <c r="F10" s="723">
        <f>+F9-$H9</f>
        <v>32</v>
      </c>
      <c r="G10" s="724">
        <f>+G9-$H9</f>
        <v>95</v>
      </c>
      <c r="H10" s="722"/>
      <c r="I10" s="1204"/>
    </row>
    <row r="11" spans="1:9" x14ac:dyDescent="0.35">
      <c r="A11" s="361"/>
      <c r="B11" s="348" t="s">
        <v>420</v>
      </c>
      <c r="C11" s="725"/>
      <c r="D11" s="1212"/>
      <c r="E11" s="1212"/>
      <c r="F11" s="726">
        <f>+F10/$H9</f>
        <v>1.0101010101010102E-2</v>
      </c>
      <c r="G11" s="726">
        <f>+G10/$H9</f>
        <v>2.9987373737373736E-2</v>
      </c>
      <c r="H11" s="348"/>
      <c r="I11" s="1208"/>
    </row>
    <row r="12" spans="1:9" ht="18.5" customHeight="1" x14ac:dyDescent="0.35">
      <c r="A12" s="747" t="s">
        <v>363</v>
      </c>
      <c r="B12" s="719" t="s">
        <v>304</v>
      </c>
      <c r="C12" s="718" t="s">
        <v>422</v>
      </c>
      <c r="D12" s="1213" t="s">
        <v>45</v>
      </c>
      <c r="E12" s="1213"/>
      <c r="F12" s="720">
        <v>7634</v>
      </c>
      <c r="G12" s="721">
        <f>+'New Year-Full Year'!P118</f>
        <v>0</v>
      </c>
      <c r="H12" s="721">
        <f>+'New Year-Full Year'!Q118</f>
        <v>3000</v>
      </c>
      <c r="I12" s="1203" t="s">
        <v>430</v>
      </c>
    </row>
    <row r="13" spans="1:9" ht="18.5" customHeight="1" x14ac:dyDescent="0.35">
      <c r="A13" s="746"/>
      <c r="B13" s="722" t="s">
        <v>414</v>
      </c>
      <c r="C13" s="722"/>
      <c r="D13" s="1211"/>
      <c r="E13" s="1211"/>
      <c r="F13" s="723">
        <f>+F12-$H12</f>
        <v>4634</v>
      </c>
      <c r="G13" s="724">
        <f>+G12-$H12</f>
        <v>-3000</v>
      </c>
      <c r="H13" s="722"/>
      <c r="I13" s="1204"/>
    </row>
    <row r="14" spans="1:9" ht="16" thickBot="1" x14ac:dyDescent="0.4">
      <c r="A14" s="354"/>
      <c r="B14" s="355" t="s">
        <v>420</v>
      </c>
      <c r="C14" s="748"/>
      <c r="D14" s="1214"/>
      <c r="E14" s="1214"/>
      <c r="F14" s="749">
        <f>+F13/$H12</f>
        <v>1.5446666666666666</v>
      </c>
      <c r="G14" s="749">
        <f>+G13/$H12</f>
        <v>-1</v>
      </c>
      <c r="H14" s="355"/>
      <c r="I14" s="1205"/>
    </row>
    <row r="15" spans="1:9" ht="16" thickBot="1" x14ac:dyDescent="0.4"/>
    <row r="16" spans="1:9" ht="18.5" customHeight="1" x14ac:dyDescent="0.35">
      <c r="A16" s="1197" t="s">
        <v>424</v>
      </c>
      <c r="B16" s="1198"/>
      <c r="C16" s="1198"/>
      <c r="D16" s="1198"/>
      <c r="E16" s="733"/>
      <c r="F16" s="1209" t="str">
        <f>+F$4</f>
        <v>2023 Budget Proposed</v>
      </c>
      <c r="G16" s="1209" t="str">
        <f>+G$4</f>
        <v>2023 Budget Current</v>
      </c>
      <c r="H16" s="1209" t="str">
        <f>+H$4</f>
        <v>2022 Budget</v>
      </c>
      <c r="I16" s="734"/>
    </row>
    <row r="17" spans="1:11" ht="38" customHeight="1" thickBot="1" x14ac:dyDescent="0.4">
      <c r="A17" s="735"/>
      <c r="B17" s="736" t="s">
        <v>416</v>
      </c>
      <c r="C17" s="737" t="s">
        <v>425</v>
      </c>
      <c r="D17" s="1202" t="s">
        <v>426</v>
      </c>
      <c r="E17" s="1202"/>
      <c r="F17" s="1202"/>
      <c r="G17" s="1202"/>
      <c r="H17" s="1202"/>
      <c r="I17" s="739" t="str">
        <f>+I$5</f>
        <v>Notes / Rational for change</v>
      </c>
    </row>
    <row r="18" spans="1:11" x14ac:dyDescent="0.35">
      <c r="A18" s="746" t="s">
        <v>361</v>
      </c>
      <c r="B18" s="690" t="s">
        <v>423</v>
      </c>
      <c r="C18" s="740">
        <v>25</v>
      </c>
      <c r="D18" s="731" t="s">
        <v>427</v>
      </c>
      <c r="E18" s="751">
        <v>13.78</v>
      </c>
      <c r="F18" s="741">
        <f>+$C18*$E18*52</f>
        <v>17914</v>
      </c>
      <c r="G18" s="741">
        <f>+$C18*$E19*52</f>
        <v>17914</v>
      </c>
      <c r="H18" s="741">
        <f>+$C18*$E20*52</f>
        <v>17732</v>
      </c>
      <c r="I18" s="1204" t="s">
        <v>442</v>
      </c>
      <c r="K18" s="347"/>
    </row>
    <row r="19" spans="1:11" x14ac:dyDescent="0.35">
      <c r="A19" s="746"/>
      <c r="B19" s="722" t="s">
        <v>414</v>
      </c>
      <c r="C19" s="727"/>
      <c r="D19" s="731" t="s">
        <v>428</v>
      </c>
      <c r="E19" s="751">
        <v>13.78</v>
      </c>
      <c r="F19" s="723">
        <f>+F18-$H18</f>
        <v>182</v>
      </c>
      <c r="G19" s="724">
        <f>+G18-$H18</f>
        <v>182</v>
      </c>
      <c r="H19" s="346"/>
      <c r="I19" s="1204"/>
    </row>
    <row r="20" spans="1:11" x14ac:dyDescent="0.35">
      <c r="A20" s="361"/>
      <c r="B20" s="348" t="s">
        <v>420</v>
      </c>
      <c r="C20" s="725"/>
      <c r="D20" s="732" t="s">
        <v>277</v>
      </c>
      <c r="E20" s="752">
        <v>13.64</v>
      </c>
      <c r="F20" s="726">
        <f>+F19/$H18</f>
        <v>1.0263929618768328E-2</v>
      </c>
      <c r="G20" s="726">
        <f>+G19/$H18</f>
        <v>1.0263929618768328E-2</v>
      </c>
      <c r="H20" s="348"/>
      <c r="I20" s="1208"/>
    </row>
    <row r="21" spans="1:11" x14ac:dyDescent="0.35">
      <c r="A21" s="747" t="s">
        <v>362</v>
      </c>
      <c r="B21" s="719" t="s">
        <v>431</v>
      </c>
      <c r="C21" s="729">
        <v>20</v>
      </c>
      <c r="D21" s="730" t="s">
        <v>427</v>
      </c>
      <c r="E21" s="753">
        <v>11.57</v>
      </c>
      <c r="F21" s="741">
        <f>+$C21*$E21*52</f>
        <v>12032.800000000001</v>
      </c>
      <c r="G21" s="741">
        <f>+$C21*$E22*52</f>
        <v>12157.599999999999</v>
      </c>
      <c r="H21" s="741">
        <f>+$C21*$E23*52</f>
        <v>12032.800000000001</v>
      </c>
      <c r="I21" s="1203" t="s">
        <v>433</v>
      </c>
    </row>
    <row r="22" spans="1:11" x14ac:dyDescent="0.35">
      <c r="A22" s="746"/>
      <c r="B22" s="722" t="s">
        <v>414</v>
      </c>
      <c r="C22" s="727"/>
      <c r="D22" s="731" t="s">
        <v>428</v>
      </c>
      <c r="E22" s="751">
        <v>11.69</v>
      </c>
      <c r="F22" s="723">
        <f>+F21-$H21</f>
        <v>0</v>
      </c>
      <c r="G22" s="724">
        <f>+G21-$H21</f>
        <v>124.79999999999745</v>
      </c>
      <c r="H22" s="346"/>
      <c r="I22" s="1204"/>
    </row>
    <row r="23" spans="1:11" x14ac:dyDescent="0.35">
      <c r="A23" s="361"/>
      <c r="B23" s="348" t="s">
        <v>420</v>
      </c>
      <c r="C23" s="725"/>
      <c r="D23" s="732" t="s">
        <v>277</v>
      </c>
      <c r="E23" s="752">
        <v>11.57</v>
      </c>
      <c r="F23" s="726">
        <f>+F22/$H21</f>
        <v>0</v>
      </c>
      <c r="G23" s="726">
        <f>+G22/$H21</f>
        <v>1.0371650821088811E-2</v>
      </c>
      <c r="H23" s="348"/>
      <c r="I23" s="1208"/>
    </row>
    <row r="24" spans="1:11" ht="15.5" customHeight="1" x14ac:dyDescent="0.35">
      <c r="A24" s="747" t="s">
        <v>363</v>
      </c>
      <c r="B24" s="719" t="s">
        <v>432</v>
      </c>
      <c r="C24" s="729">
        <v>7.5</v>
      </c>
      <c r="D24" s="730" t="s">
        <v>427</v>
      </c>
      <c r="E24" s="753">
        <v>11.22</v>
      </c>
      <c r="F24" s="741">
        <f>+$C24*$E24*52</f>
        <v>4375.8</v>
      </c>
      <c r="G24" s="741">
        <f>+$C24*$E25*52</f>
        <v>4418.7</v>
      </c>
      <c r="H24" s="741">
        <f>+$C24*$E26*52</f>
        <v>4375.8</v>
      </c>
      <c r="I24" s="1203" t="s">
        <v>433</v>
      </c>
    </row>
    <row r="25" spans="1:11" x14ac:dyDescent="0.35">
      <c r="A25" s="746"/>
      <c r="B25" s="722" t="s">
        <v>414</v>
      </c>
      <c r="C25" s="727"/>
      <c r="D25" s="731" t="s">
        <v>428</v>
      </c>
      <c r="E25" s="751">
        <v>11.33</v>
      </c>
      <c r="F25" s="723">
        <f>+F24-$H24</f>
        <v>0</v>
      </c>
      <c r="G25" s="724">
        <f>+G24-$H24</f>
        <v>42.899999999999636</v>
      </c>
      <c r="H25" s="346"/>
      <c r="I25" s="1204"/>
    </row>
    <row r="26" spans="1:11" x14ac:dyDescent="0.35">
      <c r="A26" s="361"/>
      <c r="B26" s="348" t="s">
        <v>420</v>
      </c>
      <c r="C26" s="725"/>
      <c r="D26" s="732" t="s">
        <v>277</v>
      </c>
      <c r="E26" s="752">
        <v>11.22</v>
      </c>
      <c r="F26" s="726">
        <f>+F25/$H24</f>
        <v>0</v>
      </c>
      <c r="G26" s="726">
        <f>+G25/$H24</f>
        <v>9.8039215686273676E-3</v>
      </c>
      <c r="H26" s="348"/>
      <c r="I26" s="1208"/>
    </row>
    <row r="27" spans="1:11" ht="18.5" customHeight="1" x14ac:dyDescent="0.35">
      <c r="A27" s="747" t="s">
        <v>366</v>
      </c>
      <c r="B27" s="719" t="s">
        <v>415</v>
      </c>
      <c r="C27" s="729">
        <v>40</v>
      </c>
      <c r="D27" s="730" t="s">
        <v>427</v>
      </c>
      <c r="E27" s="753">
        <f>ROUND(+E29*1.02,2)</f>
        <v>17.690000000000001</v>
      </c>
      <c r="F27" s="741">
        <f>+$C27*$E27*52</f>
        <v>36795.200000000004</v>
      </c>
      <c r="G27" s="741">
        <f>+$C27*$E28*52</f>
        <v>36420.800000000003</v>
      </c>
      <c r="H27" s="741">
        <f>+$C27*$E29*52</f>
        <v>36067.200000000004</v>
      </c>
      <c r="I27" s="1203" t="s">
        <v>435</v>
      </c>
    </row>
    <row r="28" spans="1:11" ht="18.5" customHeight="1" x14ac:dyDescent="0.35">
      <c r="A28" s="746"/>
      <c r="B28" s="722" t="s">
        <v>414</v>
      </c>
      <c r="C28" s="727"/>
      <c r="D28" s="731" t="s">
        <v>428</v>
      </c>
      <c r="E28" s="751">
        <v>17.510000000000002</v>
      </c>
      <c r="F28" s="723">
        <f>+F27-$H27</f>
        <v>728</v>
      </c>
      <c r="G28" s="724">
        <f>+G27-$H27</f>
        <v>353.59999999999854</v>
      </c>
      <c r="H28" s="346"/>
      <c r="I28" s="1204"/>
    </row>
    <row r="29" spans="1:11" x14ac:dyDescent="0.35">
      <c r="A29" s="361"/>
      <c r="B29" s="348" t="s">
        <v>420</v>
      </c>
      <c r="C29" s="725"/>
      <c r="D29" s="732" t="s">
        <v>277</v>
      </c>
      <c r="E29" s="752">
        <v>17.34</v>
      </c>
      <c r="F29" s="726">
        <f>+F28/$H27</f>
        <v>2.0184544405997689E-2</v>
      </c>
      <c r="G29" s="726">
        <f>+G28/$H27</f>
        <v>9.8039215686274092E-3</v>
      </c>
      <c r="H29" s="348"/>
      <c r="I29" s="1208"/>
    </row>
    <row r="30" spans="1:11" ht="18.5" customHeight="1" x14ac:dyDescent="0.35">
      <c r="A30" s="746" t="s">
        <v>367</v>
      </c>
      <c r="B30" s="690" t="s">
        <v>434</v>
      </c>
      <c r="C30" s="740">
        <v>15</v>
      </c>
      <c r="D30" s="731" t="s">
        <v>427</v>
      </c>
      <c r="E30" s="751">
        <f>ROUND(+E32*(1+0),2)</f>
        <v>14.57</v>
      </c>
      <c r="F30" s="741">
        <f>+$C30*$E30*52</f>
        <v>11364.6</v>
      </c>
      <c r="G30" s="741">
        <f>+$C30*$E31*52</f>
        <v>11481.6</v>
      </c>
      <c r="H30" s="741">
        <f>+$C30*$E32*52</f>
        <v>11364.6</v>
      </c>
      <c r="I30" s="1204" t="s">
        <v>433</v>
      </c>
    </row>
    <row r="31" spans="1:11" ht="18.5" customHeight="1" x14ac:dyDescent="0.35">
      <c r="A31" s="746"/>
      <c r="B31" s="722" t="s">
        <v>414</v>
      </c>
      <c r="C31" s="727"/>
      <c r="D31" s="731" t="s">
        <v>428</v>
      </c>
      <c r="E31" s="751">
        <v>14.72</v>
      </c>
      <c r="F31" s="723">
        <f>+F30-$H30</f>
        <v>0</v>
      </c>
      <c r="G31" s="724">
        <f>+G30-$H30</f>
        <v>117</v>
      </c>
      <c r="H31" s="346"/>
      <c r="I31" s="1204"/>
    </row>
    <row r="32" spans="1:11" ht="16" thickBot="1" x14ac:dyDescent="0.4">
      <c r="A32" s="354"/>
      <c r="B32" s="355" t="s">
        <v>420</v>
      </c>
      <c r="C32" s="748"/>
      <c r="D32" s="760" t="s">
        <v>277</v>
      </c>
      <c r="E32" s="761">
        <v>14.57</v>
      </c>
      <c r="F32" s="764">
        <f>+F31/$H30</f>
        <v>0</v>
      </c>
      <c r="G32" s="749">
        <f>+G31/$H30</f>
        <v>1.029512697323267E-2</v>
      </c>
      <c r="H32" s="355"/>
      <c r="I32" s="1205"/>
    </row>
    <row r="33" spans="1:9" ht="16" thickBot="1" x14ac:dyDescent="0.4">
      <c r="A33" s="346"/>
      <c r="B33" s="346"/>
      <c r="C33" s="727"/>
      <c r="D33" s="731"/>
      <c r="E33" s="751"/>
      <c r="F33" s="728"/>
      <c r="G33" s="728"/>
      <c r="H33" s="346"/>
      <c r="I33" s="750"/>
    </row>
    <row r="34" spans="1:9" ht="18" x14ac:dyDescent="0.35">
      <c r="A34" s="1197" t="s">
        <v>375</v>
      </c>
      <c r="B34" s="1198"/>
      <c r="C34" s="1198"/>
      <c r="D34" s="1198"/>
      <c r="E34" s="1198"/>
      <c r="F34" s="1209" t="str">
        <f>+F$4</f>
        <v>2023 Budget Proposed</v>
      </c>
      <c r="G34" s="1209" t="str">
        <f>+G$4</f>
        <v>2023 Budget Current</v>
      </c>
      <c r="H34" s="1209" t="str">
        <f>+H$4</f>
        <v>2022 Budget</v>
      </c>
      <c r="I34" s="734"/>
    </row>
    <row r="35" spans="1:9" ht="34" customHeight="1" thickBot="1" x14ac:dyDescent="0.4">
      <c r="A35" s="1199"/>
      <c r="B35" s="1200"/>
      <c r="C35" s="1200"/>
      <c r="D35" s="1200"/>
      <c r="E35" s="1200"/>
      <c r="F35" s="1202"/>
      <c r="G35" s="1202"/>
      <c r="H35" s="1202"/>
      <c r="I35" s="739" t="str">
        <f>+I$5</f>
        <v>Notes / Rational for change</v>
      </c>
    </row>
    <row r="36" spans="1:9" x14ac:dyDescent="0.35">
      <c r="A36" s="361" t="s">
        <v>437</v>
      </c>
      <c r="B36" s="348"/>
      <c r="C36" s="725"/>
      <c r="D36" s="348"/>
      <c r="E36" s="348"/>
      <c r="F36" s="757">
        <f>+G36</f>
        <v>14264</v>
      </c>
      <c r="G36" s="757">
        <f>3650+10614</f>
        <v>14264</v>
      </c>
      <c r="H36" s="757">
        <f>3501+12642+1</f>
        <v>16144</v>
      </c>
      <c r="I36" s="362"/>
    </row>
    <row r="37" spans="1:9" x14ac:dyDescent="0.35">
      <c r="A37" s="758" t="s">
        <v>48</v>
      </c>
      <c r="B37" s="754"/>
      <c r="C37" s="755"/>
      <c r="D37" s="754"/>
      <c r="E37" s="754"/>
      <c r="F37" s="756">
        <f>+G37</f>
        <v>30259</v>
      </c>
      <c r="G37" s="756">
        <f>800+500+13800+3000+3375+1500+2759+1000+400+700+925+1500</f>
        <v>30259</v>
      </c>
      <c r="H37" s="756">
        <f>800+500+13800+3000+3375+1500+2759+1000+400+700+925+1500</f>
        <v>30259</v>
      </c>
      <c r="I37" s="759" t="s">
        <v>439</v>
      </c>
    </row>
    <row r="38" spans="1:9" x14ac:dyDescent="0.35">
      <c r="A38" s="1206" t="s">
        <v>438</v>
      </c>
      <c r="B38" s="1207"/>
      <c r="C38" s="729"/>
      <c r="D38" s="730"/>
      <c r="E38" s="753"/>
      <c r="F38" s="763">
        <f>+G38</f>
        <v>188497</v>
      </c>
      <c r="G38" s="763">
        <f>102099+86398</f>
        <v>188497</v>
      </c>
      <c r="H38" s="763">
        <f>100670+48251+18950+8843</f>
        <v>176714</v>
      </c>
      <c r="I38" s="1203" t="s">
        <v>440</v>
      </c>
    </row>
    <row r="39" spans="1:9" x14ac:dyDescent="0.35">
      <c r="A39" s="746"/>
      <c r="B39" s="722"/>
      <c r="C39" s="727"/>
      <c r="D39" s="731"/>
      <c r="E39" s="751"/>
      <c r="F39" s="723">
        <f>+F38-$H38</f>
        <v>11783</v>
      </c>
      <c r="G39" s="724">
        <f>+G38-$H38</f>
        <v>11783</v>
      </c>
      <c r="H39" s="346"/>
      <c r="I39" s="1204"/>
    </row>
    <row r="40" spans="1:9" ht="16" thickBot="1" x14ac:dyDescent="0.4">
      <c r="A40" s="354"/>
      <c r="B40" s="355"/>
      <c r="C40" s="748"/>
      <c r="D40" s="760"/>
      <c r="E40" s="761"/>
      <c r="F40" s="749">
        <f>+F39/$H38</f>
        <v>6.667836164650226E-2</v>
      </c>
      <c r="G40" s="749">
        <f>+G39/$H38</f>
        <v>6.667836164650226E-2</v>
      </c>
      <c r="H40" s="355"/>
      <c r="I40" s="1205"/>
    </row>
    <row r="41" spans="1:9" ht="16" thickBot="1" x14ac:dyDescent="0.4"/>
    <row r="42" spans="1:9" ht="18" x14ac:dyDescent="0.35">
      <c r="A42" s="1197" t="s">
        <v>55</v>
      </c>
      <c r="B42" s="1198"/>
      <c r="C42" s="1198"/>
      <c r="D42" s="1198"/>
      <c r="E42" s="1198"/>
      <c r="F42" s="1201">
        <f>+F6+F9+F12+F18+F21+F24+F27+F30+F36+F37+F38</f>
        <v>343286.4</v>
      </c>
      <c r="G42" s="1201">
        <f>+G6+G9+G12+G18+G21+G24+G27+G30+G36+G37+G38</f>
        <v>335974.7</v>
      </c>
      <c r="H42" s="1201">
        <f>+H6+H9+H12+H18+H21+H24+H27+H30+H36+H37+H38</f>
        <v>327652.40000000002</v>
      </c>
      <c r="I42" s="734"/>
    </row>
    <row r="43" spans="1:9" ht="18.5" thickBot="1" x14ac:dyDescent="0.4">
      <c r="A43" s="1199"/>
      <c r="B43" s="1200"/>
      <c r="C43" s="1200"/>
      <c r="D43" s="1200"/>
      <c r="E43" s="1200"/>
      <c r="F43" s="1202"/>
      <c r="G43" s="1202"/>
      <c r="H43" s="1202"/>
      <c r="I43" s="739"/>
    </row>
    <row r="45" spans="1:9" x14ac:dyDescent="0.35">
      <c r="F45" s="762"/>
      <c r="G45" s="717"/>
      <c r="H45" s="762"/>
    </row>
  </sheetData>
  <mergeCells count="33">
    <mergeCell ref="I9:I11"/>
    <mergeCell ref="I6:I8"/>
    <mergeCell ref="I12:I14"/>
    <mergeCell ref="A1:I1"/>
    <mergeCell ref="A2:I2"/>
    <mergeCell ref="A4:D4"/>
    <mergeCell ref="G4:G5"/>
    <mergeCell ref="H4:H5"/>
    <mergeCell ref="G3:H3"/>
    <mergeCell ref="F4:F5"/>
    <mergeCell ref="D9:E11"/>
    <mergeCell ref="A16:D16"/>
    <mergeCell ref="H34:H35"/>
    <mergeCell ref="A34:E35"/>
    <mergeCell ref="D6:E8"/>
    <mergeCell ref="D12:E14"/>
    <mergeCell ref="D17:E17"/>
    <mergeCell ref="F34:F35"/>
    <mergeCell ref="G34:G35"/>
    <mergeCell ref="F16:F17"/>
    <mergeCell ref="G16:G17"/>
    <mergeCell ref="H16:H17"/>
    <mergeCell ref="I18:I20"/>
    <mergeCell ref="I21:I23"/>
    <mergeCell ref="I24:I26"/>
    <mergeCell ref="I30:I32"/>
    <mergeCell ref="I27:I29"/>
    <mergeCell ref="A42:E43"/>
    <mergeCell ref="F42:F43"/>
    <mergeCell ref="G42:G43"/>
    <mergeCell ref="H42:H43"/>
    <mergeCell ref="I38:I40"/>
    <mergeCell ref="A38:B38"/>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3"/>
  <sheetViews>
    <sheetView showGridLines="0" topLeftCell="A23" workbookViewId="0">
      <selection activeCell="S62" sqref="S62"/>
    </sheetView>
  </sheetViews>
  <sheetFormatPr defaultRowHeight="14.5" x14ac:dyDescent="0.35"/>
  <cols>
    <col min="1" max="1" width="7.453125" style="134" customWidth="1"/>
    <col min="2" max="2" width="39.26953125" style="134" customWidth="1"/>
    <col min="3" max="4" width="9.54296875" style="134" hidden="1" customWidth="1"/>
    <col min="5" max="5" width="9.36328125" style="134" hidden="1" customWidth="1"/>
    <col min="6" max="7" width="9.36328125" style="134" customWidth="1"/>
    <col min="8" max="8" width="1.7265625" style="134" customWidth="1"/>
    <col min="9" max="9" width="4" style="134" customWidth="1"/>
    <col min="10" max="10" width="4.54296875" style="134" customWidth="1"/>
    <col min="11" max="11" width="4" style="134" customWidth="1"/>
    <col min="12" max="12" width="4.54296875" style="134" customWidth="1"/>
    <col min="13" max="13" width="4" style="134" customWidth="1"/>
    <col min="14" max="14" width="4.54296875" style="134" customWidth="1"/>
    <col min="15" max="15" width="4" style="134" customWidth="1"/>
    <col min="16" max="16" width="4.54296875" style="134" customWidth="1"/>
    <col min="17" max="17" width="5.6328125" style="134" customWidth="1"/>
    <col min="18" max="16384" width="8.7265625" style="134"/>
  </cols>
  <sheetData>
    <row r="1" spans="1:19" ht="21" x14ac:dyDescent="0.35">
      <c r="A1" s="1218" t="s">
        <v>303</v>
      </c>
      <c r="B1" s="1218"/>
      <c r="C1" s="1218"/>
      <c r="D1" s="1218"/>
      <c r="E1" s="1218"/>
      <c r="F1" s="1218"/>
      <c r="G1" s="1218"/>
      <c r="H1" s="1218"/>
      <c r="I1" s="1218"/>
      <c r="J1" s="1218"/>
      <c r="K1" s="1218"/>
      <c r="L1" s="1218"/>
      <c r="M1" s="1218"/>
      <c r="N1" s="1218"/>
      <c r="O1" s="1218"/>
      <c r="P1" s="1218"/>
      <c r="Q1" s="1218"/>
    </row>
    <row r="2" spans="1:19" ht="15" thickBot="1" x14ac:dyDescent="0.4"/>
    <row r="3" spans="1:19" ht="32.5" customHeight="1" thickTop="1" thickBot="1" x14ac:dyDescent="0.4">
      <c r="C3" s="494" t="s">
        <v>184</v>
      </c>
      <c r="D3" s="494" t="s">
        <v>277</v>
      </c>
      <c r="E3" s="495" t="s">
        <v>356</v>
      </c>
      <c r="F3" s="495" t="s">
        <v>445</v>
      </c>
      <c r="G3" s="1094" t="s">
        <v>662</v>
      </c>
      <c r="H3" s="1246" t="s">
        <v>302</v>
      </c>
      <c r="I3" s="1246"/>
      <c r="J3" s="1246"/>
      <c r="K3" s="1246"/>
      <c r="L3" s="1246"/>
      <c r="M3" s="1246"/>
      <c r="N3" s="1246"/>
      <c r="O3" s="1246"/>
      <c r="P3" s="1246"/>
      <c r="Q3" s="1247"/>
    </row>
    <row r="4" spans="1:19" ht="15" thickTop="1" x14ac:dyDescent="0.35">
      <c r="A4" s="440"/>
      <c r="B4" s="314"/>
      <c r="C4" s="500"/>
      <c r="D4" s="501"/>
      <c r="E4" s="496"/>
      <c r="F4" s="496"/>
      <c r="G4" s="496"/>
      <c r="H4" s="309"/>
      <c r="I4" s="321">
        <v>5</v>
      </c>
      <c r="J4" s="300" t="s">
        <v>225</v>
      </c>
      <c r="K4" s="321">
        <v>5</v>
      </c>
      <c r="L4" s="300" t="s">
        <v>228</v>
      </c>
      <c r="M4" s="321">
        <v>5</v>
      </c>
      <c r="N4" s="300" t="s">
        <v>223</v>
      </c>
      <c r="O4" s="321">
        <v>5</v>
      </c>
      <c r="P4" s="300" t="s">
        <v>230</v>
      </c>
      <c r="Q4" s="304"/>
    </row>
    <row r="5" spans="1:19" x14ac:dyDescent="0.35">
      <c r="A5" s="320"/>
      <c r="B5" s="300"/>
      <c r="C5" s="501"/>
      <c r="D5" s="501"/>
      <c r="E5" s="496"/>
      <c r="F5" s="496"/>
      <c r="G5" s="496"/>
      <c r="H5" s="309"/>
      <c r="I5" s="321">
        <v>4</v>
      </c>
      <c r="J5" s="300" t="s">
        <v>226</v>
      </c>
      <c r="K5" s="321">
        <v>4</v>
      </c>
      <c r="L5" s="300" t="s">
        <v>221</v>
      </c>
      <c r="M5" s="321">
        <v>4</v>
      </c>
      <c r="N5" s="300" t="s">
        <v>229</v>
      </c>
      <c r="O5" s="321">
        <v>4</v>
      </c>
      <c r="P5" s="300" t="s">
        <v>231</v>
      </c>
      <c r="Q5" s="304"/>
    </row>
    <row r="6" spans="1:19" x14ac:dyDescent="0.35">
      <c r="A6" s="323" t="s">
        <v>219</v>
      </c>
      <c r="B6" s="324" t="s">
        <v>220</v>
      </c>
      <c r="C6" s="502">
        <v>52</v>
      </c>
      <c r="D6" s="502">
        <v>52</v>
      </c>
      <c r="E6" s="502">
        <v>52</v>
      </c>
      <c r="F6" s="502">
        <v>52</v>
      </c>
      <c r="G6" s="497">
        <f>+SUM(I4:I6)+SUM(K4:K6)+SUM(M4:M6)+SUM(O4:O6)</f>
        <v>53</v>
      </c>
      <c r="H6" s="457"/>
      <c r="I6" s="325">
        <v>4</v>
      </c>
      <c r="J6" s="324" t="s">
        <v>227</v>
      </c>
      <c r="K6" s="325">
        <v>4</v>
      </c>
      <c r="L6" s="324" t="s">
        <v>222</v>
      </c>
      <c r="M6" s="325">
        <v>4</v>
      </c>
      <c r="N6" s="324" t="s">
        <v>224</v>
      </c>
      <c r="O6" s="325">
        <v>5</v>
      </c>
      <c r="P6" s="324" t="s">
        <v>232</v>
      </c>
      <c r="Q6" s="326"/>
    </row>
    <row r="7" spans="1:19" x14ac:dyDescent="0.35">
      <c r="A7" s="327"/>
      <c r="B7" s="328" t="s">
        <v>233</v>
      </c>
      <c r="C7" s="498">
        <v>4</v>
      </c>
      <c r="D7" s="498">
        <v>4</v>
      </c>
      <c r="E7" s="498">
        <v>4</v>
      </c>
      <c r="F7" s="498">
        <v>4</v>
      </c>
      <c r="G7" s="498">
        <v>4</v>
      </c>
      <c r="H7" s="458"/>
      <c r="I7" s="328" t="s">
        <v>667</v>
      </c>
      <c r="J7" s="328"/>
      <c r="K7" s="328"/>
      <c r="L7" s="328"/>
      <c r="M7" s="328"/>
      <c r="N7" s="328"/>
      <c r="O7" s="328"/>
      <c r="P7" s="328"/>
      <c r="Q7" s="329"/>
    </row>
    <row r="8" spans="1:19" x14ac:dyDescent="0.35">
      <c r="A8" s="327"/>
      <c r="B8" s="328" t="s">
        <v>234</v>
      </c>
      <c r="C8" s="498">
        <v>6</v>
      </c>
      <c r="D8" s="498">
        <v>7</v>
      </c>
      <c r="E8" s="498">
        <v>7</v>
      </c>
      <c r="F8" s="498">
        <v>7</v>
      </c>
      <c r="G8" s="498">
        <v>7</v>
      </c>
      <c r="H8" s="458"/>
      <c r="I8" s="328" t="s">
        <v>668</v>
      </c>
      <c r="J8" s="328"/>
      <c r="K8" s="328"/>
      <c r="L8" s="328"/>
      <c r="M8" s="328"/>
      <c r="N8" s="328"/>
      <c r="O8" s="328"/>
      <c r="P8" s="328"/>
      <c r="Q8" s="329"/>
    </row>
    <row r="9" spans="1:19" x14ac:dyDescent="0.35">
      <c r="A9" s="327"/>
      <c r="B9" s="328" t="s">
        <v>279</v>
      </c>
      <c r="C9" s="498">
        <v>1</v>
      </c>
      <c r="D9" s="498">
        <v>1</v>
      </c>
      <c r="E9" s="498">
        <v>1</v>
      </c>
      <c r="F9" s="498">
        <v>0</v>
      </c>
      <c r="G9" s="498">
        <v>1</v>
      </c>
      <c r="H9" s="458"/>
      <c r="I9" s="328" t="s">
        <v>669</v>
      </c>
      <c r="J9" s="328"/>
      <c r="K9" s="328"/>
      <c r="L9" s="328"/>
      <c r="M9" s="328"/>
      <c r="N9" s="328"/>
      <c r="O9" s="328"/>
      <c r="P9" s="328"/>
      <c r="Q9" s="329"/>
    </row>
    <row r="10" spans="1:19" ht="15" thickBot="1" x14ac:dyDescent="0.4">
      <c r="A10" s="322"/>
      <c r="B10" s="310" t="s">
        <v>235</v>
      </c>
      <c r="C10" s="499">
        <v>15</v>
      </c>
      <c r="D10" s="499">
        <v>15</v>
      </c>
      <c r="E10" s="499">
        <v>15</v>
      </c>
      <c r="F10" s="499">
        <v>15</v>
      </c>
      <c r="G10" s="499">
        <v>15</v>
      </c>
      <c r="H10" s="459"/>
      <c r="I10" s="310" t="s">
        <v>670</v>
      </c>
      <c r="J10" s="310"/>
      <c r="K10" s="310"/>
      <c r="L10" s="310"/>
      <c r="M10" s="310"/>
      <c r="N10" s="310"/>
      <c r="O10" s="310"/>
      <c r="P10" s="310"/>
      <c r="Q10" s="311"/>
    </row>
    <row r="11" spans="1:19" ht="16.5" customHeight="1" thickTop="1" thickBot="1" x14ac:dyDescent="0.4">
      <c r="A11" s="330"/>
    </row>
    <row r="12" spans="1:19" ht="49" customHeight="1" thickTop="1" thickBot="1" x14ac:dyDescent="0.4">
      <c r="A12" s="1100" t="s">
        <v>217</v>
      </c>
      <c r="B12" s="1097"/>
      <c r="C12" s="1099">
        <v>3000</v>
      </c>
      <c r="D12" s="1099">
        <v>3060</v>
      </c>
      <c r="E12" s="1099">
        <v>3091</v>
      </c>
      <c r="F12" s="1099">
        <v>3168</v>
      </c>
      <c r="G12" s="1095">
        <f>ROUND(+F12*(1+'New Year-Full Year'!F80),0)</f>
        <v>3263</v>
      </c>
      <c r="H12" s="481"/>
      <c r="I12" s="1248" t="s">
        <v>321</v>
      </c>
      <c r="J12" s="1248"/>
      <c r="K12" s="1248"/>
      <c r="L12" s="1248"/>
      <c r="M12" s="1248"/>
      <c r="N12" s="1248"/>
      <c r="O12" s="1248"/>
      <c r="P12" s="1248"/>
      <c r="Q12" s="1249"/>
      <c r="S12" s="441"/>
    </row>
    <row r="13" spans="1:19" ht="15.5" thickTop="1" thickBot="1" x14ac:dyDescent="0.4">
      <c r="A13" s="1240" t="s">
        <v>681</v>
      </c>
      <c r="B13" s="1241"/>
      <c r="C13" s="1241"/>
      <c r="D13" s="1241"/>
      <c r="E13" s="1241"/>
      <c r="F13" s="1097"/>
      <c r="G13" s="1097"/>
      <c r="H13" s="1097"/>
      <c r="I13" s="1097"/>
      <c r="J13" s="1097"/>
      <c r="K13" s="1097"/>
      <c r="L13" s="1097"/>
      <c r="M13" s="1097"/>
      <c r="N13" s="1097"/>
      <c r="O13" s="1097"/>
      <c r="P13" s="1097"/>
      <c r="Q13" s="1098"/>
    </row>
    <row r="14" spans="1:19" ht="15" customHeight="1" thickTop="1" x14ac:dyDescent="0.35">
      <c r="A14" s="1229" t="s">
        <v>524</v>
      </c>
      <c r="B14" s="313" t="s">
        <v>473</v>
      </c>
      <c r="C14" s="503">
        <v>37</v>
      </c>
      <c r="D14" s="503">
        <v>37</v>
      </c>
      <c r="E14" s="504">
        <f>+E6-E10</f>
        <v>37</v>
      </c>
      <c r="F14" s="504">
        <f>+F6-F10</f>
        <v>37</v>
      </c>
      <c r="G14" s="504">
        <f>+G6-G10</f>
        <v>38</v>
      </c>
      <c r="H14" s="460"/>
      <c r="I14" s="1254" t="s">
        <v>256</v>
      </c>
      <c r="J14" s="1254"/>
      <c r="K14" s="1254"/>
      <c r="L14" s="1254"/>
      <c r="M14" s="1254"/>
      <c r="N14" s="1254"/>
      <c r="O14" s="1254"/>
      <c r="P14" s="1254"/>
      <c r="Q14" s="1255"/>
    </row>
    <row r="15" spans="1:19" ht="14.5" customHeight="1" x14ac:dyDescent="0.35">
      <c r="A15" s="1230"/>
      <c r="B15" s="299" t="s">
        <v>463</v>
      </c>
      <c r="C15" s="505">
        <v>1</v>
      </c>
      <c r="D15" s="505">
        <v>1</v>
      </c>
      <c r="E15" s="505">
        <v>1</v>
      </c>
      <c r="F15" s="505">
        <v>1</v>
      </c>
      <c r="G15" s="505">
        <v>1</v>
      </c>
      <c r="H15" s="461"/>
      <c r="I15" s="1256" t="s">
        <v>722</v>
      </c>
      <c r="J15" s="1256"/>
      <c r="K15" s="1256"/>
      <c r="L15" s="1256"/>
      <c r="M15" s="1256"/>
      <c r="N15" s="1256"/>
      <c r="O15" s="1256"/>
      <c r="P15" s="1256"/>
      <c r="Q15" s="1257"/>
    </row>
    <row r="16" spans="1:19" x14ac:dyDescent="0.35">
      <c r="A16" s="1230"/>
      <c r="B16" s="305" t="s">
        <v>466</v>
      </c>
      <c r="C16" s="506">
        <f>+C14*C15</f>
        <v>37</v>
      </c>
      <c r="D16" s="506">
        <f>+D14*D15</f>
        <v>37</v>
      </c>
      <c r="E16" s="506">
        <f>+E14*E15</f>
        <v>37</v>
      </c>
      <c r="F16" s="506">
        <f>+F14*F15</f>
        <v>37</v>
      </c>
      <c r="G16" s="506">
        <f>+G14*G15</f>
        <v>38</v>
      </c>
      <c r="H16" s="462"/>
      <c r="I16" s="1258"/>
      <c r="J16" s="1258"/>
      <c r="K16" s="1258"/>
      <c r="L16" s="1258"/>
      <c r="M16" s="1258"/>
      <c r="N16" s="1258"/>
      <c r="O16" s="1258"/>
      <c r="P16" s="1258"/>
      <c r="Q16" s="1259"/>
    </row>
    <row r="17" spans="1:19" x14ac:dyDescent="0.35">
      <c r="A17" s="1231"/>
      <c r="B17" s="302" t="s">
        <v>467</v>
      </c>
      <c r="C17" s="507"/>
      <c r="D17" s="507"/>
      <c r="E17" s="507"/>
      <c r="F17" s="507"/>
      <c r="G17" s="507"/>
      <c r="H17" s="463"/>
      <c r="I17" s="147"/>
      <c r="J17" s="147"/>
      <c r="K17" s="200"/>
      <c r="L17" s="147"/>
      <c r="M17" s="200"/>
      <c r="N17" s="147"/>
      <c r="O17" s="200"/>
      <c r="P17" s="147"/>
      <c r="Q17" s="303"/>
    </row>
    <row r="18" spans="1:19" x14ac:dyDescent="0.35">
      <c r="A18" s="1231"/>
      <c r="B18" s="299" t="s">
        <v>464</v>
      </c>
      <c r="C18" s="505">
        <v>0</v>
      </c>
      <c r="D18" s="505">
        <v>0</v>
      </c>
      <c r="E18" s="505">
        <v>0</v>
      </c>
      <c r="F18" s="505">
        <v>4</v>
      </c>
      <c r="G18" s="509">
        <f>+G7</f>
        <v>4</v>
      </c>
      <c r="H18" s="461"/>
      <c r="I18" s="300" t="s">
        <v>460</v>
      </c>
      <c r="J18" s="179"/>
      <c r="L18" s="300"/>
      <c r="M18" s="179"/>
      <c r="N18" s="300"/>
      <c r="O18" s="179"/>
      <c r="P18" s="300"/>
      <c r="Q18" s="304"/>
    </row>
    <row r="19" spans="1:19" x14ac:dyDescent="0.35">
      <c r="A19" s="1231"/>
      <c r="B19" s="305" t="s">
        <v>465</v>
      </c>
      <c r="C19" s="506">
        <f>+C8</f>
        <v>6</v>
      </c>
      <c r="D19" s="506">
        <f>+D8</f>
        <v>7</v>
      </c>
      <c r="E19" s="506">
        <f>+E8</f>
        <v>7</v>
      </c>
      <c r="F19" s="506">
        <f>+F8</f>
        <v>7</v>
      </c>
      <c r="G19" s="506">
        <f>+G8</f>
        <v>7</v>
      </c>
      <c r="H19" s="462"/>
      <c r="I19" s="306" t="s">
        <v>236</v>
      </c>
      <c r="K19" s="307"/>
      <c r="L19" s="306"/>
      <c r="M19" s="307"/>
      <c r="N19" s="306"/>
      <c r="O19" s="307"/>
      <c r="P19" s="306"/>
      <c r="Q19" s="308"/>
    </row>
    <row r="20" spans="1:19" x14ac:dyDescent="0.35">
      <c r="A20" s="1231"/>
      <c r="B20" s="302" t="s">
        <v>466</v>
      </c>
      <c r="C20" s="508">
        <f>SUM(C16:C19)</f>
        <v>43</v>
      </c>
      <c r="D20" s="508">
        <f>SUM(D16:D19)</f>
        <v>44</v>
      </c>
      <c r="E20" s="508">
        <f>SUM(E16:E19)</f>
        <v>44</v>
      </c>
      <c r="F20" s="508">
        <f>SUM(F16:F19)</f>
        <v>48</v>
      </c>
      <c r="G20" s="508">
        <f>SUM(G16:G19)</f>
        <v>49</v>
      </c>
      <c r="H20" s="464"/>
      <c r="I20" s="147"/>
      <c r="J20" s="147"/>
      <c r="K20" s="200"/>
      <c r="L20" s="147"/>
      <c r="M20" s="200"/>
      <c r="N20" s="147"/>
      <c r="O20" s="200"/>
      <c r="P20" s="147"/>
      <c r="Q20" s="303"/>
    </row>
    <row r="21" spans="1:19" x14ac:dyDescent="0.35">
      <c r="A21" s="1231"/>
      <c r="B21" s="299" t="s">
        <v>242</v>
      </c>
      <c r="C21" s="509">
        <f>C14</f>
        <v>37</v>
      </c>
      <c r="D21" s="509">
        <f>D14</f>
        <v>37</v>
      </c>
      <c r="E21" s="509">
        <f>E14</f>
        <v>37</v>
      </c>
      <c r="F21" s="509">
        <f>F14</f>
        <v>37</v>
      </c>
      <c r="G21" s="509">
        <v>0</v>
      </c>
      <c r="H21" s="465"/>
      <c r="I21" s="300" t="s">
        <v>469</v>
      </c>
      <c r="K21" s="179"/>
      <c r="L21" s="300"/>
      <c r="M21" s="179"/>
      <c r="N21" s="300"/>
      <c r="O21" s="179"/>
      <c r="P21" s="300"/>
      <c r="Q21" s="304"/>
    </row>
    <row r="22" spans="1:19" x14ac:dyDescent="0.35">
      <c r="A22" s="1231"/>
      <c r="B22" s="305" t="s">
        <v>468</v>
      </c>
      <c r="C22" s="510">
        <f>+C20+C21</f>
        <v>80</v>
      </c>
      <c r="D22" s="510">
        <f>+D20+D21</f>
        <v>81</v>
      </c>
      <c r="E22" s="510">
        <f>+E20+E21</f>
        <v>81</v>
      </c>
      <c r="F22" s="510">
        <f>+F20+F21</f>
        <v>85</v>
      </c>
      <c r="G22" s="510">
        <f>+G20+G21</f>
        <v>49</v>
      </c>
      <c r="H22" s="466"/>
      <c r="I22" s="306"/>
      <c r="J22" s="306"/>
      <c r="K22" s="307"/>
      <c r="L22" s="306"/>
      <c r="M22" s="307"/>
      <c r="N22" s="306"/>
      <c r="O22" s="307"/>
      <c r="P22" s="306"/>
      <c r="Q22" s="308"/>
    </row>
    <row r="23" spans="1:19" x14ac:dyDescent="0.35">
      <c r="A23" s="1232" t="s">
        <v>239</v>
      </c>
      <c r="B23" s="147" t="s">
        <v>247</v>
      </c>
      <c r="C23" s="507">
        <v>6</v>
      </c>
      <c r="D23" s="507">
        <v>6</v>
      </c>
      <c r="E23" s="507">
        <v>6</v>
      </c>
      <c r="F23" s="507">
        <v>5</v>
      </c>
      <c r="G23" s="507">
        <v>5</v>
      </c>
      <c r="H23" s="463"/>
      <c r="I23" s="147" t="s">
        <v>461</v>
      </c>
      <c r="J23" s="147"/>
      <c r="K23" s="200"/>
      <c r="L23" s="147"/>
      <c r="M23" s="200"/>
      <c r="N23" s="147"/>
      <c r="O23" s="200"/>
      <c r="P23" s="147"/>
      <c r="Q23" s="303"/>
    </row>
    <row r="24" spans="1:19" x14ac:dyDescent="0.35">
      <c r="A24" s="1233"/>
      <c r="B24" s="300" t="s">
        <v>470</v>
      </c>
      <c r="C24" s="505">
        <v>0</v>
      </c>
      <c r="D24" s="505">
        <v>3</v>
      </c>
      <c r="E24" s="505">
        <v>3</v>
      </c>
      <c r="F24" s="505">
        <v>3</v>
      </c>
      <c r="G24" s="505">
        <v>3</v>
      </c>
      <c r="H24" s="461"/>
      <c r="I24" s="300"/>
      <c r="K24" s="179"/>
      <c r="L24" s="300"/>
      <c r="M24" s="179"/>
      <c r="N24" s="300"/>
      <c r="O24" s="179"/>
      <c r="P24" s="300"/>
      <c r="Q24" s="304"/>
    </row>
    <row r="25" spans="1:19" x14ac:dyDescent="0.35">
      <c r="A25" s="1233"/>
      <c r="B25" s="300" t="s">
        <v>238</v>
      </c>
      <c r="C25" s="511">
        <v>25</v>
      </c>
      <c r="D25" s="511">
        <v>25</v>
      </c>
      <c r="E25" s="511">
        <v>25</v>
      </c>
      <c r="F25" s="511">
        <v>25</v>
      </c>
      <c r="G25" s="511">
        <v>0</v>
      </c>
      <c r="H25" s="467"/>
      <c r="I25" s="300"/>
      <c r="J25" s="300"/>
      <c r="K25" s="179"/>
      <c r="L25" s="300"/>
      <c r="M25" s="179"/>
      <c r="N25" s="300"/>
      <c r="O25" s="179"/>
      <c r="P25" s="300"/>
      <c r="Q25" s="304"/>
    </row>
    <row r="26" spans="1:19" x14ac:dyDescent="0.35">
      <c r="A26" s="1234"/>
      <c r="B26" s="306" t="s">
        <v>471</v>
      </c>
      <c r="C26" s="512">
        <v>30</v>
      </c>
      <c r="D26" s="512">
        <v>30</v>
      </c>
      <c r="E26" s="512">
        <v>30</v>
      </c>
      <c r="F26" s="512">
        <v>35</v>
      </c>
      <c r="G26" s="512">
        <v>60</v>
      </c>
      <c r="H26" s="468"/>
      <c r="I26" s="306" t="s">
        <v>671</v>
      </c>
      <c r="J26" s="306"/>
      <c r="K26" s="307"/>
      <c r="L26" s="306"/>
      <c r="M26" s="307"/>
      <c r="N26" s="306"/>
      <c r="O26" s="307"/>
      <c r="P26" s="306"/>
      <c r="Q26" s="308"/>
    </row>
    <row r="27" spans="1:19" x14ac:dyDescent="0.35">
      <c r="A27" s="1232" t="s">
        <v>240</v>
      </c>
      <c r="B27" s="147" t="s">
        <v>237</v>
      </c>
      <c r="C27" s="513">
        <f>+C21*C23*C25</f>
        <v>5550</v>
      </c>
      <c r="D27" s="513">
        <f>(+D21*D23*D25)+(D24*2*D25)</f>
        <v>5700</v>
      </c>
      <c r="E27" s="513">
        <f>(+E21*E23*E25)+(E24*2*E25)</f>
        <v>5700</v>
      </c>
      <c r="F27" s="513">
        <f>(+F21*F23*F25)+(F24*2*F25)</f>
        <v>4775</v>
      </c>
      <c r="G27" s="513">
        <f>(+G21*G23*G25)+(G24*2*G25)</f>
        <v>0</v>
      </c>
      <c r="H27" s="469"/>
      <c r="I27" s="147"/>
      <c r="J27" s="147"/>
      <c r="K27" s="200"/>
      <c r="L27" s="147"/>
      <c r="M27" s="200"/>
      <c r="N27" s="147"/>
      <c r="O27" s="200"/>
      <c r="P27" s="147"/>
      <c r="Q27" s="303"/>
    </row>
    <row r="28" spans="1:19" x14ac:dyDescent="0.35">
      <c r="A28" s="1233"/>
      <c r="B28" s="300" t="s">
        <v>472</v>
      </c>
      <c r="C28" s="514">
        <f>+C20*C23*C26</f>
        <v>7740</v>
      </c>
      <c r="D28" s="514">
        <f>(+D20*D23*D26)+(D24*2*D26)</f>
        <v>8100</v>
      </c>
      <c r="E28" s="514">
        <f>(+E20*E23*E26)+(E24*2*E26)</f>
        <v>8100</v>
      </c>
      <c r="F28" s="514">
        <f>(+F20*F23*F26)+(F24*2*F26)</f>
        <v>8610</v>
      </c>
      <c r="G28" s="514">
        <f>+(G22*G23*G26)+(G24*2*G26)</f>
        <v>15060</v>
      </c>
      <c r="H28" s="470"/>
      <c r="I28" s="1060"/>
      <c r="J28" s="300"/>
      <c r="K28" s="179"/>
      <c r="L28" s="309"/>
      <c r="M28" s="179"/>
      <c r="N28" s="300"/>
      <c r="O28" s="179"/>
      <c r="P28" s="300"/>
      <c r="Q28" s="304"/>
      <c r="S28" s="441"/>
    </row>
    <row r="29" spans="1:19" ht="15" thickBot="1" x14ac:dyDescent="0.4">
      <c r="A29" s="1235"/>
      <c r="B29" s="492" t="s">
        <v>243</v>
      </c>
      <c r="C29" s="515">
        <f>+C27+C28</f>
        <v>13290</v>
      </c>
      <c r="D29" s="515">
        <f>+D27+D28</f>
        <v>13800</v>
      </c>
      <c r="E29" s="516">
        <f>+E27+E28</f>
        <v>13800</v>
      </c>
      <c r="F29" s="1096">
        <f>+F27+F28</f>
        <v>13385</v>
      </c>
      <c r="G29" s="1096">
        <f>+G27+G28</f>
        <v>15060</v>
      </c>
      <c r="H29" s="482"/>
      <c r="I29" s="443"/>
      <c r="J29" s="443"/>
      <c r="K29" s="443"/>
      <c r="L29" s="443"/>
      <c r="M29" s="443"/>
      <c r="N29" s="443"/>
      <c r="O29" s="443"/>
      <c r="P29" s="443"/>
      <c r="Q29" s="483"/>
    </row>
    <row r="30" spans="1:19" ht="15.5" thickTop="1" thickBot="1" x14ac:dyDescent="0.4">
      <c r="A30" s="1240" t="s">
        <v>490</v>
      </c>
      <c r="B30" s="1241"/>
      <c r="C30" s="1241"/>
      <c r="D30" s="1241"/>
      <c r="E30" s="1241"/>
      <c r="F30" s="1097"/>
      <c r="G30" s="1097"/>
      <c r="H30" s="1097"/>
      <c r="I30" s="1097"/>
      <c r="J30" s="1097"/>
      <c r="K30" s="1097"/>
      <c r="L30" s="1097"/>
      <c r="M30" s="1097"/>
      <c r="N30" s="1097"/>
      <c r="O30" s="1097"/>
      <c r="P30" s="1097"/>
      <c r="Q30" s="1098"/>
    </row>
    <row r="31" spans="1:19" ht="15" customHeight="1" thickTop="1" x14ac:dyDescent="0.35">
      <c r="A31" s="1236" t="s">
        <v>524</v>
      </c>
      <c r="B31" s="314" t="s">
        <v>473</v>
      </c>
      <c r="C31" s="517">
        <v>52</v>
      </c>
      <c r="D31" s="517">
        <v>52</v>
      </c>
      <c r="E31" s="517">
        <f>+E6</f>
        <v>52</v>
      </c>
      <c r="F31" s="517">
        <f>+F6</f>
        <v>52</v>
      </c>
      <c r="G31" s="517">
        <f>+G6</f>
        <v>53</v>
      </c>
      <c r="H31" s="471"/>
      <c r="I31" s="314"/>
      <c r="J31" s="314"/>
      <c r="K31" s="315"/>
      <c r="L31" s="314"/>
      <c r="M31" s="315"/>
      <c r="N31" s="314"/>
      <c r="O31" s="315"/>
      <c r="P31" s="314"/>
      <c r="Q31" s="316"/>
    </row>
    <row r="32" spans="1:19" x14ac:dyDescent="0.35">
      <c r="A32" s="1237"/>
      <c r="B32" s="300" t="s">
        <v>463</v>
      </c>
      <c r="C32" s="518">
        <v>2</v>
      </c>
      <c r="D32" s="518">
        <v>2</v>
      </c>
      <c r="E32" s="518">
        <v>2</v>
      </c>
      <c r="F32" s="518">
        <v>2</v>
      </c>
      <c r="G32" s="518">
        <v>2</v>
      </c>
      <c r="H32" s="472"/>
      <c r="I32" s="300"/>
      <c r="J32" s="300"/>
      <c r="K32" s="179"/>
      <c r="L32" s="300"/>
      <c r="M32" s="179"/>
      <c r="N32" s="300"/>
      <c r="O32" s="179"/>
      <c r="P32" s="300"/>
      <c r="Q32" s="304"/>
    </row>
    <row r="33" spans="1:17" x14ac:dyDescent="0.35">
      <c r="A33" s="1237"/>
      <c r="B33" s="306" t="s">
        <v>518</v>
      </c>
      <c r="C33" s="519">
        <f>+C31*C32</f>
        <v>104</v>
      </c>
      <c r="D33" s="519">
        <f>+D31*D32</f>
        <v>104</v>
      </c>
      <c r="E33" s="519">
        <f>+E31*E32</f>
        <v>104</v>
      </c>
      <c r="F33" s="519">
        <f>+F31*F32</f>
        <v>104</v>
      </c>
      <c r="G33" s="519">
        <f>+G31*G32</f>
        <v>106</v>
      </c>
      <c r="H33" s="473"/>
      <c r="I33" s="306"/>
      <c r="J33" s="306"/>
      <c r="K33" s="307"/>
      <c r="L33" s="306"/>
      <c r="M33" s="307"/>
      <c r="N33" s="306"/>
      <c r="O33" s="307"/>
      <c r="P33" s="306"/>
      <c r="Q33" s="308"/>
    </row>
    <row r="34" spans="1:17" x14ac:dyDescent="0.35">
      <c r="A34" s="1237"/>
      <c r="B34" s="147" t="s">
        <v>519</v>
      </c>
      <c r="C34" s="520"/>
      <c r="D34" s="520"/>
      <c r="E34" s="520"/>
      <c r="F34" s="520"/>
      <c r="G34" s="520"/>
      <c r="H34" s="474"/>
      <c r="I34" s="147"/>
      <c r="J34" s="147"/>
      <c r="K34" s="200"/>
      <c r="L34" s="147"/>
      <c r="M34" s="200"/>
      <c r="N34" s="147"/>
      <c r="O34" s="200"/>
      <c r="P34" s="147"/>
      <c r="Q34" s="303"/>
    </row>
    <row r="35" spans="1:17" x14ac:dyDescent="0.35">
      <c r="A35" s="1237"/>
      <c r="B35" s="300" t="s">
        <v>244</v>
      </c>
      <c r="C35" s="521">
        <f t="shared" ref="C35:E36" si="0">+C7</f>
        <v>4</v>
      </c>
      <c r="D35" s="521">
        <f t="shared" si="0"/>
        <v>4</v>
      </c>
      <c r="E35" s="521">
        <f t="shared" si="0"/>
        <v>4</v>
      </c>
      <c r="F35" s="521">
        <f>+F7</f>
        <v>4</v>
      </c>
      <c r="G35" s="521">
        <f>+G7</f>
        <v>4</v>
      </c>
      <c r="H35" s="475"/>
      <c r="I35" s="300"/>
      <c r="J35" s="300"/>
      <c r="K35" s="179"/>
      <c r="L35" s="300"/>
      <c r="M35" s="179"/>
      <c r="N35" s="300"/>
      <c r="O35" s="179"/>
      <c r="P35" s="300"/>
      <c r="Q35" s="304"/>
    </row>
    <row r="36" spans="1:17" x14ac:dyDescent="0.35">
      <c r="A36" s="1237"/>
      <c r="B36" s="300" t="s">
        <v>245</v>
      </c>
      <c r="C36" s="521">
        <f t="shared" si="0"/>
        <v>6</v>
      </c>
      <c r="D36" s="521">
        <f t="shared" si="0"/>
        <v>7</v>
      </c>
      <c r="E36" s="521">
        <f t="shared" si="0"/>
        <v>7</v>
      </c>
      <c r="F36" s="521">
        <f>+F8</f>
        <v>7</v>
      </c>
      <c r="G36" s="521">
        <f>+G8</f>
        <v>7</v>
      </c>
      <c r="H36" s="475"/>
      <c r="I36" s="300"/>
      <c r="J36" s="300"/>
      <c r="K36" s="179"/>
      <c r="L36" s="300"/>
      <c r="M36" s="179"/>
      <c r="N36" s="300"/>
      <c r="O36" s="179"/>
      <c r="P36" s="300"/>
      <c r="Q36" s="304"/>
    </row>
    <row r="37" spans="1:17" x14ac:dyDescent="0.35">
      <c r="A37" s="1237"/>
      <c r="B37" s="179" t="s">
        <v>246</v>
      </c>
      <c r="C37" s="522">
        <v>20</v>
      </c>
      <c r="D37" s="522">
        <v>20</v>
      </c>
      <c r="E37" s="522">
        <v>20</v>
      </c>
      <c r="F37" s="522">
        <v>0</v>
      </c>
      <c r="G37" s="522">
        <v>0</v>
      </c>
      <c r="H37" s="476"/>
      <c r="I37" s="179" t="s">
        <v>474</v>
      </c>
      <c r="K37" s="179"/>
      <c r="L37" s="179"/>
      <c r="M37" s="179"/>
      <c r="N37" s="179"/>
      <c r="O37" s="179"/>
      <c r="P37" s="179"/>
      <c r="Q37" s="318"/>
    </row>
    <row r="38" spans="1:17" x14ac:dyDescent="0.35">
      <c r="A38" s="1238"/>
      <c r="B38" s="307" t="s">
        <v>520</v>
      </c>
      <c r="C38" s="523">
        <f>SUM(C33:C37)</f>
        <v>134</v>
      </c>
      <c r="D38" s="523">
        <f>SUM(D33:D37)</f>
        <v>135</v>
      </c>
      <c r="E38" s="523">
        <f>SUM(E33:E37)</f>
        <v>135</v>
      </c>
      <c r="F38" s="523">
        <f>SUM(F33:F37)</f>
        <v>115</v>
      </c>
      <c r="G38" s="523">
        <f>SUM(G33:G37)</f>
        <v>117</v>
      </c>
      <c r="H38" s="307"/>
      <c r="I38" s="307"/>
      <c r="J38" s="307"/>
      <c r="K38" s="307"/>
      <c r="L38" s="307"/>
      <c r="M38" s="307"/>
      <c r="N38" s="307"/>
      <c r="O38" s="307"/>
      <c r="P38" s="307"/>
      <c r="Q38" s="317"/>
    </row>
    <row r="39" spans="1:17" x14ac:dyDescent="0.35">
      <c r="A39" s="1226" t="s">
        <v>248</v>
      </c>
      <c r="B39" s="147" t="s">
        <v>522</v>
      </c>
      <c r="C39" s="524">
        <v>1</v>
      </c>
      <c r="D39" s="524">
        <v>1</v>
      </c>
      <c r="E39" s="524">
        <v>1</v>
      </c>
      <c r="F39" s="524">
        <v>2</v>
      </c>
      <c r="G39" s="524">
        <v>0</v>
      </c>
      <c r="H39" s="157"/>
      <c r="I39" s="147" t="s">
        <v>521</v>
      </c>
      <c r="J39" s="147"/>
      <c r="K39" s="200"/>
      <c r="L39" s="147"/>
      <c r="M39" s="200"/>
      <c r="N39" s="147"/>
      <c r="O39" s="200"/>
      <c r="P39" s="147"/>
      <c r="Q39" s="303"/>
    </row>
    <row r="40" spans="1:17" x14ac:dyDescent="0.35">
      <c r="A40" s="1225"/>
      <c r="B40" s="306" t="s">
        <v>475</v>
      </c>
      <c r="C40" s="525">
        <v>25</v>
      </c>
      <c r="D40" s="525">
        <v>25</v>
      </c>
      <c r="E40" s="525">
        <v>25</v>
      </c>
      <c r="F40" s="525">
        <v>25</v>
      </c>
      <c r="G40" s="525">
        <v>25</v>
      </c>
      <c r="H40" s="477"/>
      <c r="I40" s="306"/>
      <c r="J40" s="306"/>
      <c r="K40" s="307"/>
      <c r="L40" s="306"/>
      <c r="M40" s="307"/>
      <c r="N40" s="306"/>
      <c r="O40" s="307"/>
      <c r="P40" s="306"/>
      <c r="Q40" s="308"/>
    </row>
    <row r="41" spans="1:17" ht="15" thickBot="1" x14ac:dyDescent="0.4">
      <c r="A41" s="319" t="s">
        <v>240</v>
      </c>
      <c r="B41" s="493" t="s">
        <v>523</v>
      </c>
      <c r="C41" s="526">
        <f>+C38*C39*C40</f>
        <v>3350</v>
      </c>
      <c r="D41" s="526">
        <f>+D38*D39*D40</f>
        <v>3375</v>
      </c>
      <c r="E41" s="527">
        <f>+E38*E39*E40</f>
        <v>3375</v>
      </c>
      <c r="F41" s="1101">
        <f>+F38*F39*F40</f>
        <v>5750</v>
      </c>
      <c r="G41" s="1101">
        <f>+G38*G39*G40</f>
        <v>0</v>
      </c>
      <c r="H41" s="485"/>
      <c r="I41" s="484"/>
      <c r="J41" s="1250"/>
      <c r="K41" s="1250"/>
      <c r="L41" s="1250"/>
      <c r="M41" s="1250"/>
      <c r="N41" s="1250"/>
      <c r="O41" s="1250"/>
      <c r="P41" s="1250"/>
      <c r="Q41" s="1251"/>
    </row>
    <row r="42" spans="1:17" ht="15.5" thickTop="1" thickBot="1" x14ac:dyDescent="0.4">
      <c r="A42" s="1240" t="s">
        <v>682</v>
      </c>
      <c r="B42" s="1241"/>
      <c r="C42" s="1241"/>
      <c r="D42" s="1241"/>
      <c r="E42" s="1241"/>
      <c r="F42" s="1097"/>
      <c r="G42" s="1097"/>
      <c r="H42" s="1097"/>
      <c r="I42" s="1097"/>
      <c r="J42" s="1097"/>
      <c r="K42" s="1097"/>
      <c r="L42" s="1097"/>
      <c r="M42" s="1097"/>
      <c r="N42" s="1097"/>
      <c r="O42" s="1097"/>
      <c r="P42" s="1097"/>
      <c r="Q42" s="1098"/>
    </row>
    <row r="43" spans="1:17" ht="15.5" thickTop="1" thickBot="1" x14ac:dyDescent="0.4">
      <c r="A43" s="1242" t="s">
        <v>258</v>
      </c>
      <c r="B43" s="1243"/>
      <c r="C43" s="1243"/>
      <c r="D43" s="1243"/>
      <c r="E43" s="1243"/>
      <c r="F43" s="1102"/>
      <c r="G43" s="1102"/>
      <c r="H43" s="1102"/>
      <c r="I43" s="1102"/>
      <c r="J43" s="1102"/>
      <c r="K43" s="1102"/>
      <c r="L43" s="1102"/>
      <c r="M43" s="1102"/>
      <c r="N43" s="1102"/>
      <c r="O43" s="1102"/>
      <c r="P43" s="1102"/>
      <c r="Q43" s="1103"/>
    </row>
    <row r="44" spans="1:17" ht="15" customHeight="1" x14ac:dyDescent="0.35">
      <c r="A44" s="1224" t="s">
        <v>524</v>
      </c>
      <c r="B44" s="300" t="s">
        <v>462</v>
      </c>
      <c r="C44" s="521">
        <f>+C10</f>
        <v>15</v>
      </c>
      <c r="D44" s="521">
        <f>+D10</f>
        <v>15</v>
      </c>
      <c r="E44" s="521">
        <f>+E10</f>
        <v>15</v>
      </c>
      <c r="F44" s="521">
        <f>+F10</f>
        <v>15</v>
      </c>
      <c r="G44" s="521">
        <f>+G10</f>
        <v>15</v>
      </c>
      <c r="H44" s="475"/>
      <c r="I44" s="1252" t="str">
        <f>+I10</f>
        <v>Memorial Day May 29 - Labor Day Sept 4, 2023</v>
      </c>
      <c r="J44" s="1252"/>
      <c r="K44" s="1252"/>
      <c r="L44" s="1252"/>
      <c r="M44" s="1252"/>
      <c r="N44" s="1252"/>
      <c r="O44" s="1252"/>
      <c r="P44" s="1252"/>
      <c r="Q44" s="1253"/>
    </row>
    <row r="45" spans="1:17" x14ac:dyDescent="0.35">
      <c r="A45" s="1224"/>
      <c r="B45" s="300" t="s">
        <v>463</v>
      </c>
      <c r="C45" s="518">
        <v>1</v>
      </c>
      <c r="D45" s="518">
        <v>1</v>
      </c>
      <c r="E45" s="518">
        <v>1</v>
      </c>
      <c r="F45" s="518">
        <v>1</v>
      </c>
      <c r="G45" s="518">
        <v>1</v>
      </c>
      <c r="H45" s="472"/>
      <c r="I45" s="1252"/>
      <c r="J45" s="1252"/>
      <c r="K45" s="1252"/>
      <c r="L45" s="1252"/>
      <c r="M45" s="1252"/>
      <c r="N45" s="1252"/>
      <c r="O45" s="1252"/>
      <c r="P45" s="1252"/>
      <c r="Q45" s="1253"/>
    </row>
    <row r="46" spans="1:17" x14ac:dyDescent="0.35">
      <c r="A46" s="1225"/>
      <c r="B46" s="306" t="s">
        <v>476</v>
      </c>
      <c r="C46" s="519">
        <f>+C44*C45</f>
        <v>15</v>
      </c>
      <c r="D46" s="519">
        <f>+D44*D45</f>
        <v>15</v>
      </c>
      <c r="E46" s="519">
        <f>+E44*E45</f>
        <v>15</v>
      </c>
      <c r="F46" s="519">
        <f>+F44*F45</f>
        <v>15</v>
      </c>
      <c r="G46" s="519">
        <f>+G44*G45</f>
        <v>15</v>
      </c>
      <c r="H46" s="473"/>
      <c r="I46" s="306"/>
      <c r="J46" s="306"/>
      <c r="K46" s="307"/>
      <c r="L46" s="306"/>
      <c r="M46" s="307"/>
      <c r="N46" s="306"/>
      <c r="O46" s="307"/>
      <c r="P46" s="306"/>
      <c r="Q46" s="308"/>
    </row>
    <row r="47" spans="1:17" x14ac:dyDescent="0.35">
      <c r="A47" s="1226" t="s">
        <v>248</v>
      </c>
      <c r="B47" s="147" t="s">
        <v>477</v>
      </c>
      <c r="C47" s="524">
        <v>3</v>
      </c>
      <c r="D47" s="524">
        <v>3</v>
      </c>
      <c r="E47" s="524">
        <v>3</v>
      </c>
      <c r="F47" s="524">
        <v>3</v>
      </c>
      <c r="G47" s="524">
        <v>3</v>
      </c>
      <c r="H47" s="157"/>
      <c r="I47" s="147" t="s">
        <v>249</v>
      </c>
      <c r="K47" s="200"/>
      <c r="L47" s="147"/>
      <c r="M47" s="200"/>
      <c r="N47" s="147"/>
      <c r="O47" s="200"/>
      <c r="P47" s="147"/>
      <c r="Q47" s="303"/>
    </row>
    <row r="48" spans="1:17" x14ac:dyDescent="0.35">
      <c r="A48" s="1225"/>
      <c r="B48" s="306" t="s">
        <v>478</v>
      </c>
      <c r="C48" s="525">
        <v>50</v>
      </c>
      <c r="D48" s="525">
        <v>50</v>
      </c>
      <c r="E48" s="525">
        <v>50</v>
      </c>
      <c r="F48" s="525">
        <v>50</v>
      </c>
      <c r="G48" s="525">
        <v>60</v>
      </c>
      <c r="H48" s="477"/>
      <c r="I48" s="306"/>
      <c r="J48" s="306"/>
      <c r="K48" s="307"/>
      <c r="L48" s="306"/>
      <c r="M48" s="307"/>
      <c r="N48" s="306"/>
      <c r="O48" s="307"/>
      <c r="P48" s="306"/>
      <c r="Q48" s="308"/>
    </row>
    <row r="49" spans="1:17" ht="15" thickBot="1" x14ac:dyDescent="0.4">
      <c r="A49" s="333" t="s">
        <v>240</v>
      </c>
      <c r="B49" s="331" t="s">
        <v>251</v>
      </c>
      <c r="C49" s="528">
        <f>+C46*C47*C48</f>
        <v>2250</v>
      </c>
      <c r="D49" s="528">
        <f>+D46*D47*D48</f>
        <v>2250</v>
      </c>
      <c r="E49" s="528">
        <f>+E46*E47*E48</f>
        <v>2250</v>
      </c>
      <c r="F49" s="528">
        <f>+F46*F47*F48</f>
        <v>2250</v>
      </c>
      <c r="G49" s="528">
        <f>+G46*G47*G48</f>
        <v>2700</v>
      </c>
      <c r="H49" s="478"/>
      <c r="I49" s="200"/>
      <c r="J49" s="200"/>
      <c r="K49" s="200"/>
      <c r="L49" s="200"/>
      <c r="M49" s="200"/>
      <c r="N49" s="200"/>
      <c r="O49" s="200"/>
      <c r="P49" s="200"/>
      <c r="Q49" s="332"/>
    </row>
    <row r="50" spans="1:17" ht="15" customHeight="1" x14ac:dyDescent="0.35">
      <c r="A50" s="1239" t="s">
        <v>248</v>
      </c>
      <c r="B50" s="334" t="s">
        <v>253</v>
      </c>
      <c r="C50" s="529">
        <v>2</v>
      </c>
      <c r="D50" s="529">
        <v>2</v>
      </c>
      <c r="E50" s="529">
        <v>2</v>
      </c>
      <c r="F50" s="529">
        <v>2</v>
      </c>
      <c r="G50" s="529">
        <v>0</v>
      </c>
      <c r="H50" s="479"/>
      <c r="I50" s="334" t="s">
        <v>249</v>
      </c>
      <c r="J50" s="334"/>
      <c r="K50" s="335"/>
      <c r="L50" s="334"/>
      <c r="M50" s="335"/>
      <c r="N50" s="334"/>
      <c r="O50" s="335"/>
      <c r="P50" s="334"/>
      <c r="Q50" s="336"/>
    </row>
    <row r="51" spans="1:17" ht="15" customHeight="1" x14ac:dyDescent="0.35">
      <c r="A51" s="1225"/>
      <c r="B51" s="306" t="s">
        <v>252</v>
      </c>
      <c r="C51" s="525">
        <v>25</v>
      </c>
      <c r="D51" s="525">
        <v>25</v>
      </c>
      <c r="E51" s="525">
        <v>25</v>
      </c>
      <c r="F51" s="525">
        <v>25</v>
      </c>
      <c r="G51" s="525">
        <v>25</v>
      </c>
      <c r="H51" s="477"/>
      <c r="I51" s="306" t="s">
        <v>672</v>
      </c>
      <c r="J51" s="306"/>
      <c r="K51" s="307"/>
      <c r="L51" s="306"/>
      <c r="M51" s="307"/>
      <c r="N51" s="306"/>
      <c r="O51" s="307"/>
      <c r="P51" s="306"/>
      <c r="Q51" s="308"/>
    </row>
    <row r="52" spans="1:17" ht="15" thickBot="1" x14ac:dyDescent="0.4">
      <c r="A52" s="337" t="s">
        <v>240</v>
      </c>
      <c r="B52" s="338" t="s">
        <v>254</v>
      </c>
      <c r="C52" s="530">
        <f>+C44*C50*C51</f>
        <v>750</v>
      </c>
      <c r="D52" s="530">
        <f>+D44*D50*D51</f>
        <v>750</v>
      </c>
      <c r="E52" s="530">
        <f>+E44*E50*E51</f>
        <v>750</v>
      </c>
      <c r="F52" s="530">
        <f>+F44*F50*F51</f>
        <v>750</v>
      </c>
      <c r="G52" s="530">
        <f>+G44*G50*G51</f>
        <v>0</v>
      </c>
      <c r="H52" s="480"/>
      <c r="I52" s="339"/>
      <c r="J52" s="339"/>
      <c r="K52" s="339"/>
      <c r="L52" s="339"/>
      <c r="M52" s="339"/>
      <c r="N52" s="339"/>
      <c r="O52" s="339"/>
      <c r="P52" s="339"/>
      <c r="Q52" s="340"/>
    </row>
    <row r="53" spans="1:17" ht="15" thickBot="1" x14ac:dyDescent="0.4">
      <c r="A53" s="319" t="s">
        <v>240</v>
      </c>
      <c r="B53" s="312" t="s">
        <v>255</v>
      </c>
      <c r="C53" s="531">
        <f>+C49+C52</f>
        <v>3000</v>
      </c>
      <c r="D53" s="531">
        <f>+D49+D52</f>
        <v>3000</v>
      </c>
      <c r="E53" s="532">
        <f>+E49+E52</f>
        <v>3000</v>
      </c>
      <c r="F53" s="532">
        <f>+F49+F52</f>
        <v>3000</v>
      </c>
      <c r="G53" s="532">
        <f>+G49+G52</f>
        <v>2700</v>
      </c>
      <c r="H53" s="486"/>
      <c r="I53" s="443"/>
      <c r="J53" s="443"/>
      <c r="K53" s="443"/>
      <c r="L53" s="443"/>
      <c r="M53" s="443"/>
      <c r="N53" s="443"/>
      <c r="O53" s="443"/>
      <c r="P53" s="443"/>
      <c r="Q53" s="483"/>
    </row>
    <row r="54" spans="1:17" ht="15.5" thickTop="1" thickBot="1" x14ac:dyDescent="0.4">
      <c r="A54" s="1260" t="s">
        <v>683</v>
      </c>
      <c r="B54" s="1243"/>
      <c r="C54" s="1243"/>
      <c r="D54" s="1243"/>
      <c r="E54" s="1243"/>
      <c r="F54" s="1102"/>
      <c r="G54" s="1102"/>
      <c r="H54" s="1102"/>
      <c r="I54" s="1102"/>
      <c r="J54" s="1102"/>
      <c r="K54" s="1102"/>
      <c r="L54" s="1102"/>
      <c r="M54" s="1102"/>
      <c r="N54" s="1102"/>
      <c r="O54" s="1102"/>
      <c r="P54" s="1102"/>
      <c r="Q54" s="1103"/>
    </row>
    <row r="55" spans="1:17" ht="15" customHeight="1" x14ac:dyDescent="0.35">
      <c r="A55" s="1261" t="s">
        <v>524</v>
      </c>
      <c r="B55" s="334" t="s">
        <v>462</v>
      </c>
      <c r="C55" s="1046">
        <f>+C21</f>
        <v>37</v>
      </c>
      <c r="D55" s="1046">
        <f>+D21</f>
        <v>37</v>
      </c>
      <c r="E55" s="1046">
        <f>+E21</f>
        <v>37</v>
      </c>
      <c r="F55" s="1046">
        <v>0</v>
      </c>
      <c r="G55" s="1046">
        <f>+G6</f>
        <v>53</v>
      </c>
      <c r="H55" s="1047"/>
      <c r="I55" s="1264" t="str">
        <f>+I21</f>
        <v>One day per week (excl Lent/Advent services)</v>
      </c>
      <c r="J55" s="1264"/>
      <c r="K55" s="1264"/>
      <c r="L55" s="1264"/>
      <c r="M55" s="1264"/>
      <c r="N55" s="1264"/>
      <c r="O55" s="1264"/>
      <c r="P55" s="1264"/>
      <c r="Q55" s="1265"/>
    </row>
    <row r="56" spans="1:17" x14ac:dyDescent="0.35">
      <c r="A56" s="1262"/>
      <c r="B56" s="300" t="s">
        <v>463</v>
      </c>
      <c r="C56" s="518">
        <v>1</v>
      </c>
      <c r="D56" s="518">
        <v>1</v>
      </c>
      <c r="E56" s="518">
        <v>1</v>
      </c>
      <c r="F56" s="518">
        <v>1</v>
      </c>
      <c r="G56" s="518">
        <v>1</v>
      </c>
      <c r="H56" s="472"/>
      <c r="I56" s="1252"/>
      <c r="J56" s="1252"/>
      <c r="K56" s="1252"/>
      <c r="L56" s="1252"/>
      <c r="M56" s="1252"/>
      <c r="N56" s="1252"/>
      <c r="O56" s="1252"/>
      <c r="P56" s="1252"/>
      <c r="Q56" s="1266"/>
    </row>
    <row r="57" spans="1:17" ht="15" thickBot="1" x14ac:dyDescent="0.4">
      <c r="A57" s="1263"/>
      <c r="B57" s="306" t="s">
        <v>476</v>
      </c>
      <c r="C57" s="519">
        <f>+C55*C56</f>
        <v>37</v>
      </c>
      <c r="D57" s="519">
        <f>+D55*D56</f>
        <v>37</v>
      </c>
      <c r="E57" s="519">
        <f>+E55*E56</f>
        <v>37</v>
      </c>
      <c r="F57" s="519">
        <f>+F55*F56</f>
        <v>0</v>
      </c>
      <c r="G57" s="519">
        <f>+G55*G56</f>
        <v>53</v>
      </c>
      <c r="H57" s="473"/>
      <c r="I57" s="306"/>
      <c r="J57" s="306"/>
      <c r="K57" s="307"/>
      <c r="L57" s="306"/>
      <c r="M57" s="307"/>
      <c r="N57" s="306"/>
      <c r="O57" s="307"/>
      <c r="P57" s="306"/>
      <c r="Q57" s="1048"/>
    </row>
    <row r="58" spans="1:17" ht="15" customHeight="1" x14ac:dyDescent="0.35">
      <c r="A58" s="1261" t="s">
        <v>248</v>
      </c>
      <c r="B58" s="334" t="s">
        <v>674</v>
      </c>
      <c r="C58" s="529">
        <v>2</v>
      </c>
      <c r="D58" s="529">
        <v>2</v>
      </c>
      <c r="E58" s="529">
        <v>2</v>
      </c>
      <c r="F58" s="529">
        <v>0</v>
      </c>
      <c r="G58" s="529">
        <v>1</v>
      </c>
      <c r="H58" s="479"/>
      <c r="I58" s="334" t="s">
        <v>249</v>
      </c>
      <c r="J58" s="334"/>
      <c r="K58" s="335"/>
      <c r="L58" s="334"/>
      <c r="M58" s="335"/>
      <c r="N58" s="334"/>
      <c r="O58" s="335"/>
      <c r="P58" s="334"/>
      <c r="Q58" s="1049"/>
    </row>
    <row r="59" spans="1:17" ht="15" customHeight="1" x14ac:dyDescent="0.35">
      <c r="A59" s="1263"/>
      <c r="B59" s="306" t="s">
        <v>721</v>
      </c>
      <c r="C59" s="525">
        <v>25</v>
      </c>
      <c r="D59" s="525">
        <v>25</v>
      </c>
      <c r="E59" s="525">
        <v>25</v>
      </c>
      <c r="F59" s="525">
        <v>2759</v>
      </c>
      <c r="G59" s="525">
        <v>60</v>
      </c>
      <c r="H59" s="477"/>
      <c r="I59" s="306"/>
      <c r="J59" s="306"/>
      <c r="K59" s="307"/>
      <c r="L59" s="306"/>
      <c r="M59" s="307"/>
      <c r="N59" s="306"/>
      <c r="O59" s="307"/>
      <c r="P59" s="306"/>
      <c r="Q59" s="1048"/>
    </row>
    <row r="60" spans="1:17" ht="15" thickBot="1" x14ac:dyDescent="0.4">
      <c r="A60" s="1050" t="s">
        <v>240</v>
      </c>
      <c r="B60" s="338" t="s">
        <v>675</v>
      </c>
      <c r="C60" s="530">
        <f>+C52*C58*C59</f>
        <v>37500</v>
      </c>
      <c r="D60" s="530">
        <f>+D52*D58*D59</f>
        <v>37500</v>
      </c>
      <c r="E60" s="530">
        <f>+E52*E58*E59</f>
        <v>37500</v>
      </c>
      <c r="F60" s="1104">
        <f>+F59</f>
        <v>2759</v>
      </c>
      <c r="G60" s="1104">
        <f>+G57*G58*G59</f>
        <v>3180</v>
      </c>
      <c r="H60" s="480"/>
      <c r="I60" s="339"/>
      <c r="J60" s="339"/>
      <c r="K60" s="339"/>
      <c r="L60" s="339"/>
      <c r="M60" s="339"/>
      <c r="N60" s="339"/>
      <c r="O60" s="339"/>
      <c r="P60" s="339"/>
      <c r="Q60" s="1051"/>
    </row>
    <row r="61" spans="1:17" ht="15" thickBot="1" x14ac:dyDescent="0.4">
      <c r="A61" s="1267" t="s">
        <v>684</v>
      </c>
      <c r="B61" s="1268"/>
      <c r="C61" s="1268"/>
      <c r="D61" s="1268"/>
      <c r="E61" s="1268"/>
      <c r="F61" s="1033"/>
      <c r="G61" s="1033"/>
      <c r="H61" s="1033"/>
      <c r="I61" s="1033"/>
      <c r="J61" s="1033"/>
      <c r="K61" s="1033"/>
      <c r="L61" s="1033"/>
      <c r="M61" s="1033"/>
      <c r="N61" s="1033"/>
      <c r="O61" s="1033"/>
      <c r="P61" s="1033"/>
      <c r="Q61" s="1034"/>
    </row>
    <row r="62" spans="1:17" x14ac:dyDescent="0.35">
      <c r="A62" s="1035"/>
      <c r="B62" s="1052" t="s">
        <v>677</v>
      </c>
      <c r="C62" s="1036"/>
      <c r="D62" s="1036"/>
      <c r="E62" s="1036"/>
      <c r="F62" s="1036"/>
      <c r="G62" s="1037">
        <v>125</v>
      </c>
      <c r="H62" s="1036"/>
      <c r="I62" s="335" t="s">
        <v>678</v>
      </c>
      <c r="J62" s="335"/>
      <c r="K62" s="335"/>
      <c r="L62" s="335"/>
      <c r="M62" s="335"/>
      <c r="N62" s="335"/>
      <c r="O62" s="335"/>
      <c r="P62" s="335"/>
      <c r="Q62" s="1038"/>
    </row>
    <row r="63" spans="1:17" ht="15" thickBot="1" x14ac:dyDescent="0.4">
      <c r="A63" s="1039"/>
      <c r="B63" s="1053" t="s">
        <v>679</v>
      </c>
      <c r="C63" s="1040"/>
      <c r="D63" s="1040"/>
      <c r="E63" s="1040"/>
      <c r="F63" s="1040">
        <v>3000</v>
      </c>
      <c r="G63" s="1105">
        <f>+G62*9</f>
        <v>1125</v>
      </c>
      <c r="H63" s="1040"/>
      <c r="I63" s="1041"/>
      <c r="J63" s="1041"/>
      <c r="K63" s="1041"/>
      <c r="L63" s="1041"/>
      <c r="M63" s="1041"/>
      <c r="N63" s="1041"/>
      <c r="O63" s="1041"/>
      <c r="P63" s="1041"/>
      <c r="Q63" s="1042"/>
    </row>
    <row r="64" spans="1:17" ht="15" thickBot="1" x14ac:dyDescent="0.4">
      <c r="A64" s="1106" t="s">
        <v>680</v>
      </c>
      <c r="B64" s="1107"/>
      <c r="C64" s="1108"/>
      <c r="D64" s="1108"/>
      <c r="E64" s="1108"/>
      <c r="F64" s="1109">
        <f>+F53+F60+F63</f>
        <v>8759</v>
      </c>
      <c r="G64" s="1109">
        <f>+G53+G60+G63</f>
        <v>7005</v>
      </c>
      <c r="H64" s="1043"/>
      <c r="I64" s="1044"/>
      <c r="J64" s="1044"/>
      <c r="K64" s="1044"/>
      <c r="L64" s="1044"/>
      <c r="M64" s="1044"/>
      <c r="N64" s="1044"/>
      <c r="O64" s="1044"/>
      <c r="P64" s="1044"/>
      <c r="Q64" s="1045"/>
    </row>
    <row r="65" spans="1:17" x14ac:dyDescent="0.35">
      <c r="A65" s="1031"/>
      <c r="B65" s="1032"/>
      <c r="C65" s="489"/>
      <c r="D65" s="489"/>
      <c r="E65" s="489"/>
      <c r="F65" s="489"/>
      <c r="G65" s="1030"/>
      <c r="H65" s="489"/>
      <c r="I65" s="179"/>
      <c r="J65" s="179"/>
      <c r="K65" s="179"/>
      <c r="L65" s="179"/>
      <c r="M65" s="179"/>
      <c r="N65" s="179"/>
      <c r="O65" s="179"/>
      <c r="P65" s="179"/>
      <c r="Q65" s="179"/>
    </row>
    <row r="66" spans="1:17" ht="15" thickBot="1" x14ac:dyDescent="0.4">
      <c r="A66" s="1031"/>
      <c r="B66" s="221"/>
      <c r="C66" s="489"/>
      <c r="D66" s="489"/>
      <c r="E66" s="489"/>
      <c r="F66" s="489"/>
      <c r="G66" s="489"/>
      <c r="H66" s="489"/>
      <c r="I66" s="179"/>
      <c r="J66" s="179"/>
      <c r="K66" s="179"/>
      <c r="L66" s="179"/>
      <c r="M66" s="179"/>
      <c r="N66" s="179"/>
      <c r="O66" s="179"/>
      <c r="P66" s="179"/>
      <c r="Q66" s="179"/>
    </row>
    <row r="67" spans="1:17" ht="15.5" thickTop="1" thickBot="1" x14ac:dyDescent="0.4">
      <c r="A67" s="1244" t="s">
        <v>218</v>
      </c>
      <c r="B67" s="1245"/>
      <c r="C67" s="1245"/>
      <c r="D67" s="1245"/>
      <c r="E67" s="1245"/>
      <c r="F67" s="1110"/>
      <c r="G67" s="1110"/>
      <c r="H67" s="1110"/>
      <c r="I67" s="1110"/>
      <c r="J67" s="1110"/>
      <c r="K67" s="1110"/>
      <c r="L67" s="1110"/>
      <c r="M67" s="1110"/>
      <c r="N67" s="1110"/>
      <c r="O67" s="1110"/>
      <c r="P67" s="1110"/>
      <c r="Q67" s="1111"/>
    </row>
    <row r="68" spans="1:17" ht="15" customHeight="1" thickTop="1" x14ac:dyDescent="0.35">
      <c r="A68" s="1223" t="s">
        <v>524</v>
      </c>
      <c r="B68" s="314" t="s">
        <v>462</v>
      </c>
      <c r="C68" s="517">
        <f>+C14</f>
        <v>37</v>
      </c>
      <c r="D68" s="517">
        <f>+D14</f>
        <v>37</v>
      </c>
      <c r="E68" s="517">
        <f>+E14</f>
        <v>37</v>
      </c>
      <c r="F68" s="517">
        <f>+F14</f>
        <v>37</v>
      </c>
      <c r="G68" s="517">
        <f>+G14</f>
        <v>38</v>
      </c>
      <c r="H68" s="471"/>
      <c r="I68" s="314"/>
      <c r="J68" s="314" t="s">
        <v>250</v>
      </c>
      <c r="K68" s="315"/>
      <c r="L68" s="314"/>
      <c r="M68" s="315"/>
      <c r="N68" s="314"/>
      <c r="O68" s="315"/>
      <c r="P68" s="314"/>
      <c r="Q68" s="316"/>
    </row>
    <row r="69" spans="1:17" x14ac:dyDescent="0.35">
      <c r="A69" s="1224"/>
      <c r="B69" s="300" t="s">
        <v>463</v>
      </c>
      <c r="C69" s="518">
        <v>1</v>
      </c>
      <c r="D69" s="518">
        <v>1</v>
      </c>
      <c r="E69" s="518">
        <v>1</v>
      </c>
      <c r="F69" s="518">
        <v>1</v>
      </c>
      <c r="G69" s="518">
        <v>1</v>
      </c>
      <c r="H69" s="472"/>
      <c r="I69" s="300"/>
      <c r="J69" s="300"/>
      <c r="K69" s="179"/>
      <c r="L69" s="300"/>
      <c r="M69" s="179"/>
      <c r="N69" s="300"/>
      <c r="O69" s="179"/>
      <c r="P69" s="300"/>
      <c r="Q69" s="304"/>
    </row>
    <row r="70" spans="1:17" x14ac:dyDescent="0.35">
      <c r="A70" s="1225"/>
      <c r="B70" s="306" t="s">
        <v>476</v>
      </c>
      <c r="C70" s="519">
        <f>+C68*C69</f>
        <v>37</v>
      </c>
      <c r="D70" s="519">
        <f>+D68*D69</f>
        <v>37</v>
      </c>
      <c r="E70" s="519">
        <f>+E68*E69</f>
        <v>37</v>
      </c>
      <c r="F70" s="519">
        <f>+F68*F69</f>
        <v>37</v>
      </c>
      <c r="G70" s="519">
        <f>+G68*G69</f>
        <v>38</v>
      </c>
      <c r="H70" s="473"/>
      <c r="I70" s="306"/>
      <c r="J70" s="306"/>
      <c r="K70" s="307"/>
      <c r="L70" s="306"/>
      <c r="M70" s="307"/>
      <c r="N70" s="306"/>
      <c r="O70" s="307"/>
      <c r="P70" s="306"/>
      <c r="Q70" s="308"/>
    </row>
    <row r="71" spans="1:17" x14ac:dyDescent="0.35">
      <c r="A71" s="1226" t="s">
        <v>248</v>
      </c>
      <c r="B71" s="147" t="s">
        <v>479</v>
      </c>
      <c r="C71" s="524">
        <v>1</v>
      </c>
      <c r="D71" s="524">
        <v>1</v>
      </c>
      <c r="E71" s="524">
        <v>1</v>
      </c>
      <c r="F71" s="524">
        <v>1</v>
      </c>
      <c r="G71" s="524">
        <v>0</v>
      </c>
      <c r="H71" s="157"/>
      <c r="I71" s="147"/>
      <c r="J71" s="147"/>
      <c r="K71" s="200"/>
      <c r="L71" s="147"/>
      <c r="M71" s="200"/>
      <c r="N71" s="147"/>
      <c r="O71" s="200"/>
      <c r="P71" s="147"/>
      <c r="Q71" s="303"/>
    </row>
    <row r="72" spans="1:17" x14ac:dyDescent="0.35">
      <c r="A72" s="1225"/>
      <c r="B72" s="306" t="s">
        <v>478</v>
      </c>
      <c r="C72" s="525">
        <v>25</v>
      </c>
      <c r="D72" s="525">
        <v>25</v>
      </c>
      <c r="E72" s="525">
        <v>25</v>
      </c>
      <c r="F72" s="525">
        <v>25</v>
      </c>
      <c r="G72" s="525">
        <v>25</v>
      </c>
      <c r="H72" s="477"/>
      <c r="I72" s="306"/>
      <c r="J72" s="306"/>
      <c r="K72" s="307"/>
      <c r="L72" s="306"/>
      <c r="M72" s="307"/>
      <c r="N72" s="306"/>
      <c r="O72" s="307"/>
      <c r="P72" s="306"/>
      <c r="Q72" s="308"/>
    </row>
    <row r="73" spans="1:17" ht="15" thickBot="1" x14ac:dyDescent="0.4">
      <c r="A73" s="319" t="s">
        <v>240</v>
      </c>
      <c r="B73" s="493" t="s">
        <v>444</v>
      </c>
      <c r="C73" s="526">
        <f>+C70*C71*C72</f>
        <v>925</v>
      </c>
      <c r="D73" s="526">
        <f>+D70*D71*D72</f>
        <v>925</v>
      </c>
      <c r="E73" s="527">
        <f>+E70*E71*E72</f>
        <v>925</v>
      </c>
      <c r="F73" s="527">
        <f>+F70*F71*F72</f>
        <v>925</v>
      </c>
      <c r="G73" s="527">
        <f>+G70*G71*G72</f>
        <v>0</v>
      </c>
      <c r="H73" s="485"/>
      <c r="I73" s="484"/>
      <c r="J73" s="484"/>
      <c r="K73" s="484"/>
      <c r="L73" s="484"/>
      <c r="M73" s="484"/>
      <c r="N73" s="484"/>
      <c r="O73" s="484"/>
      <c r="P73" s="484"/>
      <c r="Q73" s="487"/>
    </row>
    <row r="74" spans="1:17" ht="15.5" thickTop="1" thickBot="1" x14ac:dyDescent="0.4">
      <c r="C74" s="301"/>
      <c r="D74" s="301"/>
      <c r="E74" s="301"/>
      <c r="F74" s="301"/>
      <c r="G74" s="301"/>
      <c r="H74" s="488"/>
      <c r="I74" s="198"/>
      <c r="J74" s="198"/>
      <c r="K74" s="198"/>
      <c r="L74" s="198"/>
      <c r="M74" s="198"/>
      <c r="N74" s="198"/>
      <c r="O74" s="198"/>
      <c r="P74" s="198"/>
      <c r="Q74" s="198"/>
    </row>
    <row r="75" spans="1:17" ht="15.5" thickTop="1" thickBot="1" x14ac:dyDescent="0.4">
      <c r="A75" s="1227" t="s">
        <v>296</v>
      </c>
      <c r="B75" s="1228"/>
      <c r="C75" s="1112">
        <f>+C12+C29+C41+C53+C73</f>
        <v>23565</v>
      </c>
      <c r="D75" s="1113">
        <f>+D12+D29+D41+D53+D73</f>
        <v>24160</v>
      </c>
      <c r="E75" s="1112">
        <f>+E12+E29+E41+E53+E73</f>
        <v>24191</v>
      </c>
      <c r="F75" s="1114">
        <f>+F12+F29+F41+F64+F73</f>
        <v>31987</v>
      </c>
      <c r="G75" s="1114">
        <f>+G12+G29+G41+G64+G73</f>
        <v>25328</v>
      </c>
      <c r="H75" s="489"/>
      <c r="I75" s="179"/>
      <c r="J75" s="179"/>
      <c r="K75" s="179"/>
      <c r="L75" s="179"/>
      <c r="M75" s="179"/>
      <c r="N75" s="179"/>
      <c r="O75" s="179"/>
      <c r="P75" s="179"/>
      <c r="Q75" s="179"/>
    </row>
    <row r="76" spans="1:17" ht="15" thickTop="1" x14ac:dyDescent="0.35">
      <c r="A76" s="1219" t="s">
        <v>297</v>
      </c>
      <c r="B76" s="1220"/>
      <c r="C76" s="442"/>
      <c r="D76" s="442"/>
      <c r="E76" s="824">
        <f>+E75-D75</f>
        <v>31</v>
      </c>
      <c r="F76" s="822">
        <f>+F75-D75</f>
        <v>7827</v>
      </c>
      <c r="G76" s="822">
        <f>+G75-E75</f>
        <v>1137</v>
      </c>
      <c r="H76" s="489"/>
      <c r="I76" s="179"/>
      <c r="J76" s="179"/>
      <c r="K76" s="179"/>
      <c r="L76" s="179"/>
      <c r="M76" s="179"/>
      <c r="N76" s="179"/>
      <c r="O76" s="179"/>
      <c r="P76" s="179"/>
      <c r="Q76" s="179"/>
    </row>
    <row r="77" spans="1:17" ht="15" thickBot="1" x14ac:dyDescent="0.4">
      <c r="A77" s="1221"/>
      <c r="B77" s="1222"/>
      <c r="C77" s="486"/>
      <c r="D77" s="486"/>
      <c r="E77" s="825">
        <f>+E76/D75</f>
        <v>1.2831125827814569E-3</v>
      </c>
      <c r="F77" s="823">
        <f>+F76/D75</f>
        <v>0.32396523178807946</v>
      </c>
      <c r="G77" s="823">
        <f>+G76/E75</f>
        <v>4.7000950766814105E-2</v>
      </c>
      <c r="H77" s="490"/>
      <c r="I77" s="179"/>
      <c r="J77" s="179"/>
      <c r="K77" s="179"/>
      <c r="L77" s="179"/>
      <c r="M77" s="179"/>
      <c r="N77" s="179"/>
      <c r="O77" s="179"/>
      <c r="P77" s="179"/>
      <c r="Q77" s="179"/>
    </row>
    <row r="78" spans="1:17" ht="15" thickTop="1" x14ac:dyDescent="0.35">
      <c r="H78" s="300"/>
      <c r="I78" s="300"/>
      <c r="J78" s="300"/>
      <c r="K78" s="179"/>
      <c r="L78" s="300"/>
      <c r="M78" s="179"/>
      <c r="N78" s="300"/>
      <c r="O78" s="179"/>
      <c r="P78" s="300"/>
      <c r="Q78" s="300"/>
    </row>
    <row r="79" spans="1:17" x14ac:dyDescent="0.35">
      <c r="D79" s="141"/>
      <c r="K79" s="198"/>
      <c r="M79" s="198"/>
      <c r="O79" s="198"/>
    </row>
    <row r="80" spans="1:17" x14ac:dyDescent="0.35">
      <c r="K80" s="198"/>
      <c r="M80" s="198"/>
      <c r="O80" s="198"/>
    </row>
    <row r="81" spans="11:15" x14ac:dyDescent="0.35">
      <c r="K81" s="198"/>
      <c r="M81" s="198"/>
      <c r="O81" s="198"/>
    </row>
    <row r="82" spans="11:15" x14ac:dyDescent="0.35">
      <c r="K82" s="198"/>
      <c r="M82" s="198"/>
      <c r="O82" s="198"/>
    </row>
    <row r="83" spans="11:15" x14ac:dyDescent="0.35">
      <c r="K83" s="198"/>
      <c r="M83" s="198"/>
      <c r="O83" s="198"/>
    </row>
    <row r="84" spans="11:15" x14ac:dyDescent="0.35">
      <c r="K84" s="198"/>
      <c r="M84" s="198"/>
      <c r="O84" s="198"/>
    </row>
    <row r="85" spans="11:15" x14ac:dyDescent="0.35">
      <c r="K85" s="198"/>
      <c r="M85" s="198"/>
      <c r="O85" s="198"/>
    </row>
    <row r="86" spans="11:15" x14ac:dyDescent="0.35">
      <c r="K86" s="198"/>
      <c r="M86" s="198"/>
      <c r="O86" s="198"/>
    </row>
    <row r="87" spans="11:15" x14ac:dyDescent="0.35">
      <c r="K87" s="198"/>
      <c r="M87" s="198"/>
      <c r="O87" s="198"/>
    </row>
    <row r="88" spans="11:15" x14ac:dyDescent="0.35">
      <c r="K88" s="198"/>
      <c r="M88" s="198"/>
      <c r="O88" s="198"/>
    </row>
    <row r="89" spans="11:15" x14ac:dyDescent="0.35">
      <c r="K89" s="198"/>
      <c r="M89" s="198"/>
      <c r="O89" s="198"/>
    </row>
    <row r="90" spans="11:15" x14ac:dyDescent="0.35">
      <c r="K90" s="198"/>
      <c r="M90" s="198"/>
      <c r="O90" s="198"/>
    </row>
    <row r="91" spans="11:15" x14ac:dyDescent="0.35">
      <c r="K91" s="198"/>
      <c r="M91" s="198"/>
      <c r="O91" s="198"/>
    </row>
    <row r="92" spans="11:15" x14ac:dyDescent="0.35">
      <c r="K92" s="198"/>
      <c r="M92" s="198"/>
      <c r="O92" s="198"/>
    </row>
    <row r="93" spans="11:15" x14ac:dyDescent="0.35">
      <c r="K93" s="198"/>
      <c r="M93" s="198"/>
      <c r="O93" s="198"/>
    </row>
  </sheetData>
  <mergeCells count="29">
    <mergeCell ref="A54:E54"/>
    <mergeCell ref="A55:A57"/>
    <mergeCell ref="I55:Q56"/>
    <mergeCell ref="A58:A59"/>
    <mergeCell ref="A61:E61"/>
    <mergeCell ref="H3:Q3"/>
    <mergeCell ref="I12:Q12"/>
    <mergeCell ref="J41:Q41"/>
    <mergeCell ref="I44:Q45"/>
    <mergeCell ref="A13:E13"/>
    <mergeCell ref="I14:Q14"/>
    <mergeCell ref="A42:E42"/>
    <mergeCell ref="I15:Q16"/>
    <mergeCell ref="A1:Q1"/>
    <mergeCell ref="A76:B77"/>
    <mergeCell ref="A68:A70"/>
    <mergeCell ref="A71:A72"/>
    <mergeCell ref="A75:B75"/>
    <mergeCell ref="A14:A22"/>
    <mergeCell ref="A23:A26"/>
    <mergeCell ref="A27:A29"/>
    <mergeCell ref="A31:A38"/>
    <mergeCell ref="A39:A40"/>
    <mergeCell ref="A50:A51"/>
    <mergeCell ref="A30:E30"/>
    <mergeCell ref="A43:E43"/>
    <mergeCell ref="A67:E67"/>
    <mergeCell ref="A44:A46"/>
    <mergeCell ref="A47:A48"/>
  </mergeCells>
  <printOptions horizontalCentered="1" verticalCentered="1"/>
  <pageMargins left="0.2" right="0.2" top="0.25" bottom="0.25" header="0.3" footer="0.3"/>
  <pageSetup scale="63" orientation="portrait" horizontalDpi="4294967293" verticalDpi="0" r:id="rId1"/>
  <headerFooter>
    <oddFooter>&amp;R&amp;D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74"/>
  <sheetViews>
    <sheetView showGridLines="0" workbookViewId="0">
      <selection activeCell="C5" sqref="C5"/>
    </sheetView>
  </sheetViews>
  <sheetFormatPr defaultRowHeight="14.5" x14ac:dyDescent="0.35"/>
  <cols>
    <col min="1" max="1" width="49.36328125" style="134" customWidth="1"/>
    <col min="2" max="3" width="13.90625" style="134" customWidth="1"/>
    <col min="4" max="16384" width="8.7265625" style="134"/>
  </cols>
  <sheetData>
    <row r="1" spans="1:3" ht="21" x14ac:dyDescent="0.35">
      <c r="A1" s="1218" t="s">
        <v>509</v>
      </c>
      <c r="B1" s="1218"/>
      <c r="C1" s="1218"/>
    </row>
    <row r="2" spans="1:3" x14ac:dyDescent="0.35">
      <c r="B2" s="826"/>
      <c r="C2" s="1020"/>
    </row>
    <row r="3" spans="1:3" ht="43.5" customHeight="1" x14ac:dyDescent="0.35">
      <c r="A3" s="848" t="s">
        <v>549</v>
      </c>
      <c r="B3" s="821" t="s">
        <v>662</v>
      </c>
      <c r="C3" s="819" t="s">
        <v>349</v>
      </c>
    </row>
    <row r="4" spans="1:3" ht="14.5" customHeight="1" x14ac:dyDescent="0.35">
      <c r="A4" s="439" t="s">
        <v>38</v>
      </c>
      <c r="B4" s="137">
        <f>+B6-B5</f>
        <v>56499</v>
      </c>
      <c r="C4" s="579">
        <f>+C6-C5</f>
        <v>58551</v>
      </c>
    </row>
    <row r="5" spans="1:3" ht="16.5" customHeight="1" thickBot="1" x14ac:dyDescent="0.4">
      <c r="A5" s="166" t="s">
        <v>161</v>
      </c>
      <c r="B5" s="139">
        <v>22000</v>
      </c>
      <c r="C5" s="582">
        <f>+$B5</f>
        <v>22000</v>
      </c>
    </row>
    <row r="6" spans="1:3" ht="14.5" customHeight="1" x14ac:dyDescent="0.35">
      <c r="A6" s="166" t="s">
        <v>162</v>
      </c>
      <c r="B6" s="404">
        <v>78499</v>
      </c>
      <c r="C6" s="618">
        <v>80551</v>
      </c>
    </row>
    <row r="7" spans="1:3" ht="4" customHeight="1" x14ac:dyDescent="0.35">
      <c r="A7" s="178"/>
      <c r="B7" s="138"/>
      <c r="C7" s="580"/>
    </row>
    <row r="8" spans="1:3" ht="14.5" customHeight="1" x14ac:dyDescent="0.35">
      <c r="A8" s="166" t="s">
        <v>172</v>
      </c>
      <c r="B8" s="132">
        <v>1</v>
      </c>
      <c r="C8" s="584">
        <v>1</v>
      </c>
    </row>
    <row r="9" spans="1:3" ht="6.5" customHeight="1" x14ac:dyDescent="0.35">
      <c r="A9" s="178"/>
      <c r="B9" s="138"/>
      <c r="C9" s="580"/>
    </row>
    <row r="10" spans="1:3" ht="14.5" customHeight="1" x14ac:dyDescent="0.35">
      <c r="A10" s="185" t="s">
        <v>183</v>
      </c>
      <c r="B10" s="142">
        <f>ROUND(+B6*B8,0)</f>
        <v>78499</v>
      </c>
      <c r="C10" s="587">
        <f>ROUND(+C6*C8,0)</f>
        <v>80551</v>
      </c>
    </row>
    <row r="11" spans="1:3" x14ac:dyDescent="0.35">
      <c r="A11" s="166" t="s">
        <v>510</v>
      </c>
      <c r="B11" s="626">
        <v>0</v>
      </c>
      <c r="C11" s="586">
        <v>0</v>
      </c>
    </row>
    <row r="12" spans="1:3" ht="15" customHeight="1" x14ac:dyDescent="0.35">
      <c r="A12" s="1269" t="s">
        <v>492</v>
      </c>
      <c r="B12" s="138"/>
      <c r="C12" s="580"/>
    </row>
    <row r="13" spans="1:3" ht="14.5" customHeight="1" x14ac:dyDescent="0.35">
      <c r="A13" s="1269"/>
      <c r="B13" s="133">
        <f>+B29</f>
        <v>0</v>
      </c>
      <c r="C13" s="588">
        <f>+C29</f>
        <v>0</v>
      </c>
    </row>
    <row r="14" spans="1:3" ht="8" customHeight="1" x14ac:dyDescent="0.35">
      <c r="A14" s="1022"/>
      <c r="B14" s="138"/>
      <c r="C14" s="580"/>
    </row>
    <row r="15" spans="1:3" ht="14.5" customHeight="1" x14ac:dyDescent="0.35">
      <c r="A15" s="185" t="s">
        <v>183</v>
      </c>
      <c r="B15" s="142">
        <f>+B10+B13</f>
        <v>78499</v>
      </c>
      <c r="C15" s="587">
        <f>+C10+C13</f>
        <v>80551</v>
      </c>
    </row>
    <row r="16" spans="1:3" x14ac:dyDescent="0.35">
      <c r="A16" s="178" t="s">
        <v>533</v>
      </c>
      <c r="B16" s="628">
        <v>7.6499999999999999E-2</v>
      </c>
      <c r="C16" s="786">
        <f>+$B16</f>
        <v>7.6499999999999999E-2</v>
      </c>
    </row>
    <row r="17" spans="1:3" x14ac:dyDescent="0.35">
      <c r="A17" s="178" t="s">
        <v>287</v>
      </c>
      <c r="B17" s="133">
        <f>ROUND(+B15*B16,0)</f>
        <v>6005</v>
      </c>
      <c r="C17" s="588">
        <f>ROUND(+C15*C16,0)</f>
        <v>6162</v>
      </c>
    </row>
    <row r="18" spans="1:3" x14ac:dyDescent="0.35">
      <c r="A18" s="193" t="s">
        <v>185</v>
      </c>
      <c r="B18" s="144">
        <f>+B15+B17</f>
        <v>84504</v>
      </c>
      <c r="C18" s="590">
        <f>+C15+C17</f>
        <v>86713</v>
      </c>
    </row>
    <row r="19" spans="1:3" x14ac:dyDescent="0.35">
      <c r="A19" s="198"/>
      <c r="B19" s="198"/>
      <c r="C19" s="198"/>
    </row>
    <row r="20" spans="1:3" x14ac:dyDescent="0.35">
      <c r="A20" s="199" t="s">
        <v>190</v>
      </c>
      <c r="B20" s="136"/>
      <c r="C20" s="578"/>
    </row>
    <row r="21" spans="1:3" x14ac:dyDescent="0.35">
      <c r="A21" s="178" t="s">
        <v>186</v>
      </c>
      <c r="B21" s="627">
        <v>5385</v>
      </c>
      <c r="C21" s="588">
        <f>+$B21</f>
        <v>5385</v>
      </c>
    </row>
    <row r="22" spans="1:3" x14ac:dyDescent="0.35">
      <c r="A22" s="178" t="s">
        <v>208</v>
      </c>
      <c r="B22" s="627">
        <v>4420</v>
      </c>
      <c r="C22" s="588">
        <f>+$B22</f>
        <v>4420</v>
      </c>
    </row>
    <row r="23" spans="1:3" ht="14.5" hidden="1" customHeight="1" x14ac:dyDescent="0.35">
      <c r="A23" s="178" t="s">
        <v>209</v>
      </c>
      <c r="B23" s="133">
        <f>+B21+B22</f>
        <v>9805</v>
      </c>
      <c r="C23" s="588">
        <f>+C21+C22</f>
        <v>9805</v>
      </c>
    </row>
    <row r="24" spans="1:3" ht="5" hidden="1" customHeight="1" x14ac:dyDescent="0.35">
      <c r="A24" s="178"/>
      <c r="B24" s="628"/>
      <c r="C24" s="595"/>
    </row>
    <row r="25" spans="1:3" ht="14.5" hidden="1" customHeight="1" x14ac:dyDescent="0.35">
      <c r="A25" s="186" t="s">
        <v>188</v>
      </c>
      <c r="B25" s="629">
        <f>+B21+B22</f>
        <v>9805</v>
      </c>
      <c r="C25" s="597">
        <f>+C23</f>
        <v>9805</v>
      </c>
    </row>
    <row r="26" spans="1:3" ht="3.5" hidden="1" customHeight="1" x14ac:dyDescent="0.35">
      <c r="A26" s="178"/>
      <c r="B26" s="138"/>
      <c r="C26" s="580"/>
    </row>
    <row r="27" spans="1:3" ht="14.5" hidden="1" customHeight="1" x14ac:dyDescent="0.35">
      <c r="A27" s="178" t="s">
        <v>299</v>
      </c>
      <c r="B27" s="627">
        <v>0</v>
      </c>
      <c r="C27" s="588">
        <f>+$B27</f>
        <v>0</v>
      </c>
    </row>
    <row r="28" spans="1:3" ht="14.5" hidden="1" customHeight="1" x14ac:dyDescent="0.35">
      <c r="A28" s="178" t="s">
        <v>511</v>
      </c>
      <c r="B28" s="628">
        <v>0.25</v>
      </c>
      <c r="C28" s="786">
        <f>+$B28</f>
        <v>0.25</v>
      </c>
    </row>
    <row r="29" spans="1:3" hidden="1" x14ac:dyDescent="0.35">
      <c r="A29" s="186" t="s">
        <v>331</v>
      </c>
      <c r="B29" s="629">
        <f>ROUND(+B27/(1-B28),0)</f>
        <v>0</v>
      </c>
      <c r="C29" s="597">
        <f>ROUND(+C27/(1-C28),0)</f>
        <v>0</v>
      </c>
    </row>
    <row r="30" spans="1:3" x14ac:dyDescent="0.35">
      <c r="A30" s="193" t="s">
        <v>189</v>
      </c>
      <c r="B30" s="144">
        <f>+B23-B27</f>
        <v>9805</v>
      </c>
      <c r="C30" s="590">
        <f>+C23-C27</f>
        <v>9805</v>
      </c>
    </row>
    <row r="31" spans="1:3" x14ac:dyDescent="0.35">
      <c r="A31" s="198"/>
      <c r="B31" s="198"/>
      <c r="C31" s="198"/>
    </row>
    <row r="32" spans="1:3" x14ac:dyDescent="0.35">
      <c r="A32" s="199" t="s">
        <v>512</v>
      </c>
      <c r="B32" s="623">
        <v>0.11</v>
      </c>
      <c r="C32" s="785">
        <f>+$B32</f>
        <v>0.11</v>
      </c>
    </row>
    <row r="33" spans="1:3" x14ac:dyDescent="0.35">
      <c r="A33" s="178" t="s">
        <v>193</v>
      </c>
      <c r="B33" s="137">
        <f>+B18</f>
        <v>84504</v>
      </c>
      <c r="C33" s="579">
        <f>+C18</f>
        <v>86713</v>
      </c>
    </row>
    <row r="34" spans="1:3" x14ac:dyDescent="0.35">
      <c r="A34" s="178" t="s">
        <v>165</v>
      </c>
      <c r="B34" s="137">
        <f>ROUND(+B33*B32,0)</f>
        <v>9295</v>
      </c>
      <c r="C34" s="579">
        <f>ROUND(+C33*C32,0)</f>
        <v>9538</v>
      </c>
    </row>
    <row r="35" spans="1:3" x14ac:dyDescent="0.35">
      <c r="A35" s="178" t="s">
        <v>191</v>
      </c>
      <c r="B35" s="137">
        <f>+B30</f>
        <v>9805</v>
      </c>
      <c r="C35" s="579">
        <f>+C30</f>
        <v>9805</v>
      </c>
    </row>
    <row r="36" spans="1:3" x14ac:dyDescent="0.35">
      <c r="A36" s="454" t="s">
        <v>301</v>
      </c>
      <c r="B36" s="624">
        <f>+B34+B35</f>
        <v>19100</v>
      </c>
      <c r="C36" s="607">
        <f>+C34+C35</f>
        <v>19343</v>
      </c>
    </row>
    <row r="37" spans="1:3" x14ac:dyDescent="0.35">
      <c r="A37" s="178" t="s">
        <v>196</v>
      </c>
      <c r="B37" s="625">
        <f>+B36/B33</f>
        <v>0.22602480355959481</v>
      </c>
      <c r="C37" s="608">
        <f>+C36/C33</f>
        <v>0.22306920530946917</v>
      </c>
    </row>
    <row r="38" spans="1:3" x14ac:dyDescent="0.35">
      <c r="A38" s="178" t="s">
        <v>300</v>
      </c>
      <c r="B38" s="626">
        <v>0.22500000000000001</v>
      </c>
      <c r="C38" s="586">
        <v>0.22500000000000001</v>
      </c>
    </row>
    <row r="39" spans="1:3" x14ac:dyDescent="0.35">
      <c r="A39" s="193" t="s">
        <v>192</v>
      </c>
      <c r="B39" s="144">
        <f>ROUND(+B18*B38,0)</f>
        <v>19013</v>
      </c>
      <c r="C39" s="590">
        <f>ROUND(+C18*C38,0)</f>
        <v>19510</v>
      </c>
    </row>
    <row r="40" spans="1:3" x14ac:dyDescent="0.35">
      <c r="A40" s="198"/>
      <c r="B40" s="198"/>
      <c r="C40" s="198"/>
    </row>
    <row r="41" spans="1:3" x14ac:dyDescent="0.35">
      <c r="A41" s="199" t="s">
        <v>195</v>
      </c>
      <c r="B41" s="136"/>
      <c r="C41" s="578"/>
    </row>
    <row r="42" spans="1:3" x14ac:dyDescent="0.35">
      <c r="A42" s="178" t="s">
        <v>513</v>
      </c>
      <c r="B42" s="419">
        <v>1.4999999999999999E-2</v>
      </c>
      <c r="C42" s="613">
        <f>+$B42</f>
        <v>1.4999999999999999E-2</v>
      </c>
    </row>
    <row r="43" spans="1:3" x14ac:dyDescent="0.35">
      <c r="A43" s="178" t="s">
        <v>514</v>
      </c>
      <c r="B43" s="419">
        <v>7.0000000000000001E-3</v>
      </c>
      <c r="C43" s="613">
        <f>+$B43</f>
        <v>7.0000000000000001E-3</v>
      </c>
    </row>
    <row r="44" spans="1:3" hidden="1" x14ac:dyDescent="0.35">
      <c r="A44" s="178" t="s">
        <v>168</v>
      </c>
      <c r="B44" s="419">
        <v>0</v>
      </c>
      <c r="C44" s="612">
        <v>0</v>
      </c>
    </row>
    <row r="45" spans="1:3" x14ac:dyDescent="0.35">
      <c r="A45" s="178" t="s">
        <v>515</v>
      </c>
      <c r="B45" s="420">
        <f>+B42+B43+B44</f>
        <v>2.1999999999999999E-2</v>
      </c>
      <c r="C45" s="613">
        <f>+C42+C43+C44</f>
        <v>2.1999999999999999E-2</v>
      </c>
    </row>
    <row r="46" spans="1:3" x14ac:dyDescent="0.35">
      <c r="A46" s="178" t="s">
        <v>193</v>
      </c>
      <c r="B46" s="137">
        <f>+B18</f>
        <v>84504</v>
      </c>
      <c r="C46" s="579">
        <f>+C18</f>
        <v>86713</v>
      </c>
    </row>
    <row r="47" spans="1:3" ht="29" hidden="1" x14ac:dyDescent="0.35">
      <c r="A47" s="214" t="s">
        <v>200</v>
      </c>
      <c r="B47" s="217">
        <v>0</v>
      </c>
      <c r="C47" s="614">
        <v>0</v>
      </c>
    </row>
    <row r="48" spans="1:3" hidden="1" x14ac:dyDescent="0.35">
      <c r="A48" s="214" t="s">
        <v>199</v>
      </c>
      <c r="B48" s="137"/>
      <c r="C48" s="579"/>
    </row>
    <row r="49" spans="1:3" hidden="1" x14ac:dyDescent="0.35">
      <c r="A49" s="148" t="s">
        <v>198</v>
      </c>
      <c r="B49" s="137">
        <f>SUM(B46:B48)</f>
        <v>84504</v>
      </c>
      <c r="C49" s="579">
        <f>SUM(C46:C48)</f>
        <v>86713</v>
      </c>
    </row>
    <row r="50" spans="1:3" x14ac:dyDescent="0.35">
      <c r="A50" s="154" t="s">
        <v>197</v>
      </c>
      <c r="B50" s="144">
        <f>ROUND(+B49*B45,0)</f>
        <v>1859</v>
      </c>
      <c r="C50" s="590">
        <f>ROUND(+C49*C45,0)</f>
        <v>1908</v>
      </c>
    </row>
    <row r="52" spans="1:3" x14ac:dyDescent="0.35">
      <c r="A52" s="145" t="s">
        <v>103</v>
      </c>
      <c r="B52" s="216"/>
      <c r="C52" s="615"/>
    </row>
    <row r="53" spans="1:3" x14ac:dyDescent="0.35">
      <c r="A53" s="148" t="s">
        <v>202</v>
      </c>
      <c r="B53" s="217">
        <v>1500</v>
      </c>
      <c r="C53" s="784">
        <f>+$B53</f>
        <v>1500</v>
      </c>
    </row>
    <row r="54" spans="1:3" x14ac:dyDescent="0.35">
      <c r="A54" s="148" t="s">
        <v>516</v>
      </c>
      <c r="B54" s="217">
        <v>1300</v>
      </c>
      <c r="C54" s="784">
        <f>+$B54</f>
        <v>1300</v>
      </c>
    </row>
    <row r="55" spans="1:3" x14ac:dyDescent="0.35">
      <c r="A55" s="148" t="s">
        <v>534</v>
      </c>
      <c r="B55" s="217"/>
      <c r="C55" s="784"/>
    </row>
    <row r="56" spans="1:3" x14ac:dyDescent="0.35">
      <c r="A56" s="148" t="s">
        <v>103</v>
      </c>
      <c r="B56" s="217">
        <v>600</v>
      </c>
      <c r="C56" s="784">
        <f>+$B56</f>
        <v>600</v>
      </c>
    </row>
    <row r="57" spans="1:3" x14ac:dyDescent="0.35">
      <c r="A57" s="178" t="s">
        <v>215</v>
      </c>
      <c r="B57" s="217">
        <f>ROUND(40*12,0)</f>
        <v>480</v>
      </c>
      <c r="C57" s="784">
        <f>+$B57</f>
        <v>480</v>
      </c>
    </row>
    <row r="58" spans="1:3" x14ac:dyDescent="0.35">
      <c r="A58" s="159" t="s">
        <v>204</v>
      </c>
      <c r="B58" s="218">
        <f>+SUM(B53:B57)</f>
        <v>3880</v>
      </c>
      <c r="C58" s="616">
        <f>+SUM(C53:C57)</f>
        <v>3880</v>
      </c>
    </row>
    <row r="59" spans="1:3" ht="7.5" customHeight="1" thickBot="1" x14ac:dyDescent="0.4"/>
    <row r="60" spans="1:3" ht="15.5" thickTop="1" thickBot="1" x14ac:dyDescent="0.4">
      <c r="A60" s="491" t="s">
        <v>203</v>
      </c>
      <c r="B60" s="815">
        <f>+B18+B39+B50+B58</f>
        <v>109256</v>
      </c>
      <c r="C60" s="808">
        <f>+C18+C39+C50+C58</f>
        <v>112011</v>
      </c>
    </row>
    <row r="61" spans="1:3" ht="15" thickTop="1" x14ac:dyDescent="0.35">
      <c r="A61" s="221" t="s">
        <v>278</v>
      </c>
      <c r="B61" s="209"/>
      <c r="C61" s="209"/>
    </row>
    <row r="62" spans="1:3" x14ac:dyDescent="0.35">
      <c r="A62" s="221"/>
      <c r="B62" s="619"/>
      <c r="C62" s="619"/>
    </row>
    <row r="63" spans="1:3" hidden="1" x14ac:dyDescent="0.35">
      <c r="A63" s="300"/>
    </row>
    <row r="64" spans="1:3" hidden="1" x14ac:dyDescent="0.35">
      <c r="A64" s="849" t="s">
        <v>207</v>
      </c>
    </row>
    <row r="65" spans="1:3" x14ac:dyDescent="0.35">
      <c r="A65" s="300"/>
      <c r="B65" s="219"/>
      <c r="C65" s="219"/>
    </row>
    <row r="66" spans="1:3" ht="18.5" x14ac:dyDescent="0.35">
      <c r="A66" s="850" t="s">
        <v>536</v>
      </c>
    </row>
    <row r="67" spans="1:3" ht="32" customHeight="1" thickBot="1" x14ac:dyDescent="0.4">
      <c r="A67" s="831"/>
      <c r="B67" s="831"/>
    </row>
    <row r="68" spans="1:3" x14ac:dyDescent="0.35">
      <c r="A68" s="829" t="s">
        <v>664</v>
      </c>
      <c r="B68" s="832" t="s">
        <v>537</v>
      </c>
    </row>
    <row r="70" spans="1:3" ht="32" customHeight="1" thickBot="1" x14ac:dyDescent="0.4">
      <c r="A70" s="831"/>
      <c r="B70" s="831"/>
    </row>
    <row r="71" spans="1:3" x14ac:dyDescent="0.35">
      <c r="A71" s="829" t="s">
        <v>539</v>
      </c>
      <c r="B71" s="832" t="s">
        <v>537</v>
      </c>
    </row>
    <row r="73" spans="1:3" ht="32" customHeight="1" thickBot="1" x14ac:dyDescent="0.4">
      <c r="A73" s="831"/>
      <c r="B73" s="831"/>
    </row>
    <row r="74" spans="1:3" x14ac:dyDescent="0.35">
      <c r="A74" s="829" t="s">
        <v>540</v>
      </c>
      <c r="B74" s="832" t="s">
        <v>537</v>
      </c>
    </row>
  </sheetData>
  <mergeCells count="2">
    <mergeCell ref="A12:A13"/>
    <mergeCell ref="A1:C1"/>
  </mergeCells>
  <pageMargins left="0" right="0" top="0.5" bottom="0" header="0.3" footer="0.3"/>
  <pageSetup scale="74" orientation="portrait" horizontalDpi="4294967293" verticalDpi="0" r:id="rId1"/>
  <headerFooter>
    <oddFooter>&amp;R&amp;D</oddFooter>
  </headerFooter>
  <rowBreaks count="1" manualBreakCount="1">
    <brk id="4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337</v>
      </c>
    </row>
    <row r="3" spans="2:7" ht="58" x14ac:dyDescent="0.35">
      <c r="C3" s="567" t="s">
        <v>347</v>
      </c>
      <c r="D3" s="567" t="s">
        <v>348</v>
      </c>
      <c r="E3" s="567"/>
      <c r="F3" s="568" t="s">
        <v>346</v>
      </c>
      <c r="G3" s="567" t="s">
        <v>344</v>
      </c>
    </row>
    <row r="4" spans="2:7" x14ac:dyDescent="0.35">
      <c r="B4">
        <v>2018</v>
      </c>
      <c r="C4" s="569">
        <f>52894+15868</f>
        <v>68762</v>
      </c>
      <c r="D4" s="569">
        <f>52894+15868</f>
        <v>68762</v>
      </c>
      <c r="E4" s="569" t="s">
        <v>340</v>
      </c>
      <c r="F4" s="573">
        <f>52894+15868</f>
        <v>68762</v>
      </c>
      <c r="G4" s="570">
        <f>+F4-D4</f>
        <v>0</v>
      </c>
    </row>
    <row r="6" spans="2:7" x14ac:dyDescent="0.35">
      <c r="B6" t="s">
        <v>338</v>
      </c>
      <c r="C6" s="570">
        <f>+ROUND(C4*(1+0.02),2)</f>
        <v>70137.240000000005</v>
      </c>
      <c r="D6" s="572">
        <v>71240</v>
      </c>
      <c r="E6" s="572" t="s">
        <v>341</v>
      </c>
      <c r="F6" s="573">
        <v>70137</v>
      </c>
      <c r="G6" s="570">
        <f>+F6-D6</f>
        <v>-1103</v>
      </c>
    </row>
    <row r="7" spans="2:7" x14ac:dyDescent="0.35">
      <c r="C7" s="571">
        <f>(+C6-C4)/C4</f>
        <v>2.0000000000000077E-2</v>
      </c>
      <c r="D7" s="571">
        <f>(+D6-D4)/D4</f>
        <v>3.6037346208661759E-2</v>
      </c>
      <c r="E7" s="571"/>
    </row>
    <row r="8" spans="2:7" x14ac:dyDescent="0.35">
      <c r="C8" s="571"/>
      <c r="D8" s="571"/>
      <c r="E8" s="571"/>
    </row>
    <row r="9" spans="2:7" x14ac:dyDescent="0.35">
      <c r="B9" t="s">
        <v>339</v>
      </c>
      <c r="C9" s="570">
        <f>+ROUND(C6*(1+0.02),2)</f>
        <v>71539.98</v>
      </c>
      <c r="D9" s="572">
        <v>73783</v>
      </c>
      <c r="E9" s="572" t="s">
        <v>342</v>
      </c>
      <c r="F9" s="573">
        <v>71540</v>
      </c>
      <c r="G9" s="570">
        <f>+F9-D9</f>
        <v>-2243</v>
      </c>
    </row>
    <row r="10" spans="2:7" x14ac:dyDescent="0.35">
      <c r="C10" s="571">
        <f>(+C9-C6)/C6</f>
        <v>1.9999931562747417E-2</v>
      </c>
      <c r="D10" s="571">
        <f>(+D9-D6)/D6</f>
        <v>3.5696238068500842E-2</v>
      </c>
      <c r="E10" s="571"/>
    </row>
    <row r="11" spans="2:7" x14ac:dyDescent="0.35">
      <c r="C11" s="570"/>
      <c r="D11" s="570"/>
      <c r="E11" s="570"/>
    </row>
    <row r="12" spans="2:7" x14ac:dyDescent="0.35">
      <c r="B12" t="s">
        <v>345</v>
      </c>
      <c r="C12" s="570">
        <f>+ROUND(C9*(1+0.01),2)</f>
        <v>72255.38</v>
      </c>
      <c r="D12" s="572">
        <v>75618</v>
      </c>
      <c r="E12" s="572" t="s">
        <v>343</v>
      </c>
      <c r="F12" s="574">
        <f>+F9*(1+0.01)</f>
        <v>72255.399999999994</v>
      </c>
      <c r="G12" s="574">
        <f>+D12-F9</f>
        <v>4078</v>
      </c>
    </row>
    <row r="13" spans="2:7" x14ac:dyDescent="0.35">
      <c r="C13" s="571">
        <f>(+C12-C9)/C9</f>
        <v>1.0000002795639708E-2</v>
      </c>
      <c r="D13" s="571">
        <f>(+D12-D9)/D9</f>
        <v>2.4870227559193853E-2</v>
      </c>
      <c r="E13" s="571"/>
      <c r="F13" s="571">
        <f>(+F12-F9)/F9</f>
        <v>9.9999999999999187E-3</v>
      </c>
      <c r="G13" s="571">
        <f>+G12/F9</f>
        <v>5.7003075202683814E-2</v>
      </c>
    </row>
    <row r="16" spans="2:7" x14ac:dyDescent="0.35">
      <c r="D16" s="570"/>
      <c r="F16" s="575">
        <f>2000/F9</f>
        <v>2.7956388034665922E-2</v>
      </c>
    </row>
    <row r="17" spans="4:4" x14ac:dyDescent="0.35">
      <c r="D17" s="570"/>
    </row>
  </sheetData>
  <pageMargins left="0.7" right="0.7" top="0.75" bottom="0.75"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
  <sheetViews>
    <sheetView showGridLines="0" topLeftCell="B2" workbookViewId="0">
      <selection activeCell="M5" sqref="M5"/>
    </sheetView>
  </sheetViews>
  <sheetFormatPr defaultRowHeight="14.5" x14ac:dyDescent="0.35"/>
  <cols>
    <col min="1" max="1" width="10" style="134" customWidth="1"/>
    <col min="2" max="2" width="38.453125" style="134" customWidth="1"/>
    <col min="3" max="3" width="13.90625" style="198" hidden="1" customWidth="1"/>
    <col min="4" max="5" width="13.90625" style="134" hidden="1" customWidth="1"/>
    <col min="6" max="6" width="8.7265625" style="134" hidden="1" customWidth="1"/>
    <col min="7" max="7" width="9.81640625" style="134" hidden="1" customWidth="1"/>
    <col min="8" max="8" width="11.90625" style="134" hidden="1" customWidth="1"/>
    <col min="9" max="14" width="13.90625" style="134" customWidth="1"/>
    <col min="15" max="15" width="10.453125" style="134" bestFit="1" customWidth="1"/>
    <col min="16" max="16" width="11.453125" style="134" customWidth="1"/>
    <col min="17" max="17" width="15.1796875" style="134" customWidth="1"/>
    <col min="18" max="18" width="8.7265625" style="134"/>
    <col min="19" max="30" width="13.90625" style="134" hidden="1" customWidth="1"/>
    <col min="31" max="16384" width="8.7265625" style="134"/>
  </cols>
  <sheetData>
    <row r="1" spans="1:30" ht="21.5" thickBot="1" x14ac:dyDescent="0.4">
      <c r="A1" s="1218" t="s">
        <v>336</v>
      </c>
      <c r="B1" s="1218"/>
      <c r="C1" s="1218"/>
      <c r="D1" s="1218"/>
      <c r="E1" s="1218"/>
      <c r="F1" s="1218"/>
      <c r="G1" s="1218"/>
      <c r="H1" s="1218"/>
      <c r="I1" s="1218"/>
      <c r="J1" s="1218"/>
      <c r="K1" s="1218"/>
      <c r="L1" s="1218"/>
      <c r="M1" s="1218"/>
      <c r="N1" s="1218"/>
      <c r="O1" s="1218"/>
      <c r="P1" s="1218"/>
      <c r="Q1" s="1218"/>
      <c r="R1" s="141"/>
      <c r="S1" s="891">
        <v>7.0000000000000007E-2</v>
      </c>
      <c r="V1" s="891">
        <v>0.08</v>
      </c>
      <c r="Y1" s="891">
        <v>0.09</v>
      </c>
      <c r="AB1" s="891">
        <v>0.1</v>
      </c>
    </row>
    <row r="2" spans="1:30" s="803" customFormat="1" ht="10" customHeight="1" thickBot="1" x14ac:dyDescent="0.4">
      <c r="B2" s="804"/>
      <c r="C2" s="805"/>
      <c r="D2" s="805"/>
      <c r="E2" s="806"/>
      <c r="I2" s="805"/>
      <c r="J2" s="805"/>
      <c r="K2" s="805"/>
      <c r="L2" s="805"/>
      <c r="M2" s="805"/>
      <c r="N2" s="805"/>
      <c r="R2" s="890"/>
      <c r="S2" s="1270" t="str">
        <f>"2023 Estimate at "&amp;S1*100&amp;"%"</f>
        <v>2023 Estimate at 7%</v>
      </c>
      <c r="T2" s="1271"/>
      <c r="U2" s="1272"/>
      <c r="V2" s="1270" t="str">
        <f>"2023 Estimate at "&amp;V1*100&amp;"%"</f>
        <v>2023 Estimate at 8%</v>
      </c>
      <c r="W2" s="1271"/>
      <c r="X2" s="1272"/>
      <c r="Y2" s="1270" t="str">
        <f>"2023 Estimate at "&amp;Y1*100&amp;"%"</f>
        <v>2023 Estimate at 9%</v>
      </c>
      <c r="Z2" s="1271"/>
      <c r="AA2" s="1272"/>
      <c r="AB2" s="1270" t="str">
        <f>"2023 Estimate at "&amp;AB1*100&amp;"%"</f>
        <v>2023 Estimate at 10%</v>
      </c>
      <c r="AC2" s="1271"/>
      <c r="AD2" s="1272"/>
    </row>
    <row r="3" spans="1:30" ht="37.5" customHeight="1" x14ac:dyDescent="0.35">
      <c r="C3" s="432" t="s">
        <v>330</v>
      </c>
      <c r="D3" s="406" t="s">
        <v>277</v>
      </c>
      <c r="E3" s="622" t="s">
        <v>446</v>
      </c>
      <c r="G3" s="782"/>
      <c r="H3" s="783"/>
      <c r="I3" s="1301" t="s">
        <v>445</v>
      </c>
      <c r="J3" s="1303" t="s">
        <v>691</v>
      </c>
      <c r="K3" s="1303" t="s">
        <v>692</v>
      </c>
      <c r="L3" s="1276" t="s">
        <v>716</v>
      </c>
      <c r="M3" s="1305" t="s">
        <v>662</v>
      </c>
      <c r="N3" s="1307" t="s">
        <v>349</v>
      </c>
      <c r="O3" s="1284" t="str">
        <f>"To Buy Back one week of vacation is $"&amp;ROUND(+N12/52,0)&amp;" per week"</f>
        <v>To Buy Back one week of vacation is $1369 per week</v>
      </c>
      <c r="P3" s="1285"/>
      <c r="Q3" s="1285"/>
      <c r="S3" s="889" t="s">
        <v>82</v>
      </c>
      <c r="T3" s="889" t="str">
        <f>"Full Year with buy-back"</f>
        <v>Full Year with buy-back</v>
      </c>
      <c r="U3" s="889" t="str">
        <f>"1/2 Year with buy-back"</f>
        <v>1/2 Year with buy-back</v>
      </c>
      <c r="V3" s="893" t="s">
        <v>82</v>
      </c>
      <c r="W3" s="893" t="str">
        <f>"Full Year with buy-back"</f>
        <v>Full Year with buy-back</v>
      </c>
      <c r="X3" s="893" t="str">
        <f>"1/2 Year with buy-back"</f>
        <v>1/2 Year with buy-back</v>
      </c>
      <c r="Y3" s="889" t="s">
        <v>82</v>
      </c>
      <c r="Z3" s="889" t="str">
        <f>"Full Year with buy-back"</f>
        <v>Full Year with buy-back</v>
      </c>
      <c r="AA3" s="889" t="str">
        <f>"1/2 Year with buy-back"</f>
        <v>1/2 Year with buy-back</v>
      </c>
      <c r="AB3" s="893" t="s">
        <v>82</v>
      </c>
      <c r="AC3" s="893" t="str">
        <f>"Full Year with buy-back"</f>
        <v>Full Year with buy-back</v>
      </c>
      <c r="AD3" s="893" t="str">
        <f>"1/2 Year with buy-back"</f>
        <v>1/2 Year with buy-back</v>
      </c>
    </row>
    <row r="4" spans="1:30" ht="15" customHeight="1" x14ac:dyDescent="0.35">
      <c r="C4" s="432"/>
      <c r="D4" s="406"/>
      <c r="E4" s="1021"/>
      <c r="G4" s="782"/>
      <c r="H4" s="783"/>
      <c r="I4" s="1302"/>
      <c r="J4" s="1304"/>
      <c r="K4" s="1304"/>
      <c r="L4" s="1277"/>
      <c r="M4" s="1306"/>
      <c r="N4" s="1308"/>
      <c r="O4" s="1299" t="s">
        <v>709</v>
      </c>
      <c r="P4" s="1300"/>
      <c r="Q4" s="1300"/>
      <c r="S4" s="889"/>
      <c r="T4" s="889"/>
      <c r="U4" s="889"/>
      <c r="V4" s="893"/>
      <c r="W4" s="893"/>
      <c r="X4" s="893"/>
      <c r="Y4" s="889"/>
      <c r="Z4" s="889"/>
      <c r="AA4" s="889"/>
      <c r="AB4" s="893"/>
      <c r="AC4" s="893"/>
      <c r="AD4" s="893"/>
    </row>
    <row r="5" spans="1:30" ht="14.5" customHeight="1" x14ac:dyDescent="0.35">
      <c r="A5" s="1278" t="s">
        <v>333</v>
      </c>
      <c r="B5" s="439" t="s">
        <v>38</v>
      </c>
      <c r="C5" s="433">
        <f>+C7-C6</f>
        <v>40802</v>
      </c>
      <c r="D5" s="433">
        <f>+D7-D6</f>
        <v>40802</v>
      </c>
      <c r="E5" s="168">
        <f>+E7-E6</f>
        <v>42687</v>
      </c>
      <c r="F5" s="1286" t="s">
        <v>447</v>
      </c>
      <c r="G5" s="1287"/>
      <c r="H5" s="1288"/>
      <c r="I5" s="433">
        <f>+I12-I6</f>
        <v>44553</v>
      </c>
      <c r="J5" s="433">
        <f>+I5/12*2</f>
        <v>7425.5</v>
      </c>
      <c r="K5" s="433">
        <f>ROUND((+I5/12*10)+J5,0)</f>
        <v>44553</v>
      </c>
      <c r="L5" s="1068">
        <f>+J5*6</f>
        <v>44553</v>
      </c>
      <c r="M5" s="405">
        <f>+N5-(1369*2)</f>
        <v>48437</v>
      </c>
      <c r="N5" s="833">
        <f>+N7-N6</f>
        <v>51175</v>
      </c>
      <c r="O5" s="1299"/>
      <c r="P5" s="1300"/>
      <c r="Q5" s="1300"/>
      <c r="S5" s="405">
        <f>+S7-S6</f>
        <v>56157</v>
      </c>
      <c r="T5" s="405"/>
      <c r="U5" s="405"/>
      <c r="V5" s="433">
        <f>+V7-V6</f>
        <v>76869</v>
      </c>
      <c r="W5" s="433"/>
      <c r="X5" s="433"/>
      <c r="Y5" s="405">
        <f>+Y7-Y6</f>
        <v>57581</v>
      </c>
      <c r="Z5" s="405"/>
      <c r="AA5" s="405"/>
      <c r="AB5" s="433">
        <f>+AB7-AB6</f>
        <v>78293</v>
      </c>
      <c r="AC5" s="433"/>
      <c r="AD5" s="433"/>
    </row>
    <row r="6" spans="1:30" ht="15" thickBot="1" x14ac:dyDescent="0.4">
      <c r="A6" s="1279"/>
      <c r="B6" s="166" t="s">
        <v>161</v>
      </c>
      <c r="C6" s="173">
        <f>ROUND(+C7*0.3,0)</f>
        <v>17487</v>
      </c>
      <c r="D6" s="173">
        <f>ROUND(+D7*0.3,0)</f>
        <v>17487</v>
      </c>
      <c r="E6" s="436">
        <v>20000</v>
      </c>
      <c r="F6" s="1286"/>
      <c r="G6" s="1287"/>
      <c r="H6" s="1288"/>
      <c r="I6" s="436">
        <v>20000</v>
      </c>
      <c r="J6" s="894">
        <f>+I6/12*2</f>
        <v>3333.3333333333335</v>
      </c>
      <c r="K6" s="436">
        <f>ROUND((+I6/12*10)+J6,0)</f>
        <v>20000</v>
      </c>
      <c r="L6" s="1069">
        <f>+J6*6</f>
        <v>20000</v>
      </c>
      <c r="M6" s="417">
        <v>20000</v>
      </c>
      <c r="N6" s="834">
        <v>20000</v>
      </c>
      <c r="O6" s="1299"/>
      <c r="P6" s="1300"/>
      <c r="Q6" s="1300"/>
      <c r="S6" s="888">
        <f>+I6</f>
        <v>20000</v>
      </c>
      <c r="T6" s="417"/>
      <c r="U6" s="417"/>
      <c r="V6" s="894">
        <f>+P6</f>
        <v>0</v>
      </c>
      <c r="W6" s="436"/>
      <c r="X6" s="436"/>
      <c r="Y6" s="888">
        <f>+S6</f>
        <v>20000</v>
      </c>
      <c r="Z6" s="417"/>
      <c r="AA6" s="417"/>
      <c r="AB6" s="894">
        <f>+V6</f>
        <v>0</v>
      </c>
      <c r="AC6" s="436"/>
      <c r="AD6" s="436"/>
    </row>
    <row r="7" spans="1:30" ht="14.5" hidden="1" customHeight="1" x14ac:dyDescent="0.35">
      <c r="A7" s="1279"/>
      <c r="B7" s="166" t="s">
        <v>162</v>
      </c>
      <c r="C7" s="434">
        <v>58289</v>
      </c>
      <c r="D7" s="434">
        <v>58289</v>
      </c>
      <c r="E7" s="177">
        <f>+ROUND((62066*1.01),0)</f>
        <v>62687</v>
      </c>
      <c r="F7" s="1286"/>
      <c r="G7" s="1287"/>
      <c r="H7" s="1288"/>
      <c r="I7" s="1027">
        <f>+I5+I6</f>
        <v>64553</v>
      </c>
      <c r="J7" s="1027">
        <f>+J5+J6</f>
        <v>10758.833333333334</v>
      </c>
      <c r="K7" s="1027">
        <f>+K5+K6</f>
        <v>64553</v>
      </c>
      <c r="L7" s="1070"/>
      <c r="M7" s="917">
        <f>+M5+M6</f>
        <v>68437</v>
      </c>
      <c r="N7" s="618">
        <v>71175</v>
      </c>
      <c r="O7" s="1299"/>
      <c r="P7" s="1300"/>
      <c r="Q7" s="1300"/>
      <c r="S7" s="892">
        <f>ROUND(+$N7*(1+S1),0)</f>
        <v>76157</v>
      </c>
      <c r="T7" s="404"/>
      <c r="U7" s="404"/>
      <c r="V7" s="895">
        <f>ROUND(+$N7*(1+V1),0)</f>
        <v>76869</v>
      </c>
      <c r="W7" s="434"/>
      <c r="X7" s="434"/>
      <c r="Y7" s="892">
        <f>ROUND(+$N7*(1+Y1),0)</f>
        <v>77581</v>
      </c>
      <c r="Z7" s="404"/>
      <c r="AA7" s="404"/>
      <c r="AB7" s="895">
        <f>ROUND(+$N7*(1+AB1),0)</f>
        <v>78293</v>
      </c>
      <c r="AC7" s="434"/>
      <c r="AD7" s="434"/>
    </row>
    <row r="8" spans="1:30" ht="5.5" hidden="1" customHeight="1" x14ac:dyDescent="0.35">
      <c r="A8" s="1279"/>
      <c r="B8" s="178"/>
      <c r="C8" s="171"/>
      <c r="D8" s="171"/>
      <c r="E8" s="171"/>
      <c r="F8" s="1286"/>
      <c r="G8" s="1287"/>
      <c r="H8" s="1288"/>
      <c r="I8" s="171"/>
      <c r="J8" s="171"/>
      <c r="K8" s="171"/>
      <c r="L8" s="1071"/>
      <c r="M8" s="138"/>
      <c r="N8" s="580"/>
      <c r="O8" s="827"/>
      <c r="P8" s="828"/>
      <c r="Q8" s="828"/>
      <c r="R8" s="179"/>
      <c r="S8" s="138"/>
      <c r="T8" s="138"/>
      <c r="U8" s="138"/>
      <c r="V8" s="171"/>
      <c r="W8" s="171"/>
      <c r="X8" s="171"/>
      <c r="Y8" s="138"/>
      <c r="Z8" s="138"/>
      <c r="AA8" s="138"/>
      <c r="AB8" s="171"/>
      <c r="AC8" s="171"/>
      <c r="AD8" s="171"/>
    </row>
    <row r="9" spans="1:30" ht="14.5" hidden="1" customHeight="1" x14ac:dyDescent="0.35">
      <c r="A9" s="1279"/>
      <c r="B9" s="166" t="s">
        <v>172</v>
      </c>
      <c r="C9" s="435">
        <v>1</v>
      </c>
      <c r="D9" s="435">
        <v>0.5</v>
      </c>
      <c r="E9" s="435">
        <v>1</v>
      </c>
      <c r="F9" s="1286"/>
      <c r="G9" s="1287"/>
      <c r="H9" s="1288"/>
      <c r="I9" s="435">
        <v>1</v>
      </c>
      <c r="J9" s="435">
        <v>1</v>
      </c>
      <c r="K9" s="435">
        <v>1</v>
      </c>
      <c r="L9" s="1072"/>
      <c r="M9" s="402">
        <v>1</v>
      </c>
      <c r="N9" s="835">
        <v>1</v>
      </c>
      <c r="O9" s="827"/>
      <c r="P9" s="828"/>
      <c r="Q9" s="828"/>
      <c r="R9" s="179"/>
      <c r="S9" s="402">
        <v>1</v>
      </c>
      <c r="T9" s="402">
        <v>1</v>
      </c>
      <c r="U9" s="402">
        <v>0.5</v>
      </c>
      <c r="V9" s="435">
        <v>1</v>
      </c>
      <c r="W9" s="435">
        <v>1</v>
      </c>
      <c r="X9" s="435">
        <v>0.5</v>
      </c>
      <c r="Y9" s="402">
        <v>1</v>
      </c>
      <c r="Z9" s="402">
        <v>1</v>
      </c>
      <c r="AA9" s="402">
        <v>0.5</v>
      </c>
      <c r="AB9" s="435">
        <v>1</v>
      </c>
      <c r="AC9" s="435">
        <v>1</v>
      </c>
      <c r="AD9" s="435">
        <v>0.5</v>
      </c>
    </row>
    <row r="10" spans="1:30" ht="14.5" hidden="1" customHeight="1" x14ac:dyDescent="0.35">
      <c r="A10" s="1279"/>
      <c r="B10" s="178"/>
      <c r="C10" s="171"/>
      <c r="D10" s="171"/>
      <c r="E10" s="171"/>
      <c r="F10" s="1286"/>
      <c r="G10" s="1287"/>
      <c r="H10" s="1288"/>
      <c r="I10" s="171"/>
      <c r="J10" s="171"/>
      <c r="K10" s="171"/>
      <c r="L10" s="1071"/>
      <c r="M10" s="138"/>
      <c r="N10" s="580"/>
      <c r="O10" s="827"/>
      <c r="P10" s="828"/>
      <c r="Q10" s="828"/>
      <c r="R10" s="179"/>
      <c r="S10" s="138"/>
      <c r="T10" s="138"/>
      <c r="U10" s="138"/>
      <c r="V10" s="168"/>
      <c r="W10" s="171"/>
      <c r="X10" s="171"/>
      <c r="Y10" s="138"/>
      <c r="Z10" s="138"/>
      <c r="AA10" s="138"/>
      <c r="AB10" s="171"/>
      <c r="AC10" s="171"/>
      <c r="AD10" s="171"/>
    </row>
    <row r="11" spans="1:30" ht="14.5" hidden="1" customHeight="1" x14ac:dyDescent="0.35">
      <c r="A11" s="1279"/>
      <c r="B11" s="166"/>
      <c r="C11" s="415">
        <v>0</v>
      </c>
      <c r="D11" s="415">
        <v>0</v>
      </c>
      <c r="E11" s="184"/>
      <c r="F11" s="1286"/>
      <c r="G11" s="1287"/>
      <c r="H11" s="1288"/>
      <c r="I11" s="415"/>
      <c r="J11" s="415"/>
      <c r="K11" s="415"/>
      <c r="L11" s="1073"/>
      <c r="M11" s="419"/>
      <c r="N11" s="612"/>
      <c r="O11" s="827"/>
      <c r="P11" s="828"/>
      <c r="Q11" s="828"/>
      <c r="R11" s="179"/>
      <c r="S11" s="419"/>
      <c r="T11" s="419"/>
      <c r="U11" s="419"/>
      <c r="V11" s="415"/>
      <c r="W11" s="415"/>
      <c r="X11" s="415"/>
      <c r="Y11" s="419"/>
      <c r="Z11" s="419"/>
      <c r="AA11" s="419"/>
      <c r="AB11" s="415"/>
      <c r="AC11" s="415"/>
      <c r="AD11" s="415"/>
    </row>
    <row r="12" spans="1:30" x14ac:dyDescent="0.35">
      <c r="A12" s="1279"/>
      <c r="B12" s="185" t="s">
        <v>183</v>
      </c>
      <c r="C12" s="407">
        <f>ROUND(+C7*(1+C11)*C9,0)</f>
        <v>58289</v>
      </c>
      <c r="D12" s="407">
        <f>ROUND(+D7*(1+D11)*D9,0)</f>
        <v>29145</v>
      </c>
      <c r="E12" s="560">
        <f>ROUND(+E7*(1+E11)*E9,0)</f>
        <v>62687</v>
      </c>
      <c r="F12" s="1286"/>
      <c r="G12" s="1287"/>
      <c r="H12" s="1288"/>
      <c r="I12" s="189">
        <f>66953-2400</f>
        <v>64553</v>
      </c>
      <c r="J12" s="560">
        <f>+J7</f>
        <v>10758.833333333334</v>
      </c>
      <c r="K12" s="560">
        <f>+K7</f>
        <v>64553</v>
      </c>
      <c r="L12" s="1074">
        <f>+L5+L6</f>
        <v>64553</v>
      </c>
      <c r="M12" s="142">
        <f>+M5+M6</f>
        <v>68437</v>
      </c>
      <c r="N12" s="587">
        <f>ROUND((+N7*(1+N11)*N9),0)</f>
        <v>71175</v>
      </c>
      <c r="O12" s="827"/>
      <c r="P12" s="1059"/>
      <c r="Q12" s="828"/>
      <c r="R12" s="120"/>
      <c r="S12" s="142">
        <f>ROUND((+S7*S9),0)</f>
        <v>76157</v>
      </c>
      <c r="T12" s="142">
        <f>ROUND((+S7*T9)-((S7/52)*2),0)</f>
        <v>73228</v>
      </c>
      <c r="U12" s="142">
        <f>+T12*U9</f>
        <v>36614</v>
      </c>
      <c r="V12" s="407">
        <f>ROUND((+V7*V9),0)</f>
        <v>76869</v>
      </c>
      <c r="W12" s="407">
        <f>ROUND((+V7*W9)-((V7/52)*2),0)</f>
        <v>73913</v>
      </c>
      <c r="X12" s="407">
        <f>+W12*X9</f>
        <v>36956.5</v>
      </c>
      <c r="Y12" s="142">
        <f>ROUND((+Y7*Y9),0)</f>
        <v>77581</v>
      </c>
      <c r="Z12" s="142">
        <f>ROUND((+Y7*Z9)-((Y7/52)*2),0)</f>
        <v>74597</v>
      </c>
      <c r="AA12" s="142">
        <f>+Z12*AA9</f>
        <v>37298.5</v>
      </c>
      <c r="AB12" s="407">
        <f>ROUND((+AB7*AB9),0)</f>
        <v>78293</v>
      </c>
      <c r="AC12" s="407">
        <f>ROUND((+AB7*AC9)-((AB7/52)*2),0)</f>
        <v>75282</v>
      </c>
      <c r="AD12" s="407">
        <f>+AC12*AD9</f>
        <v>37641</v>
      </c>
    </row>
    <row r="13" spans="1:30" ht="7.5" customHeight="1" x14ac:dyDescent="0.35">
      <c r="A13" s="1279"/>
      <c r="B13" s="1289" t="s">
        <v>332</v>
      </c>
      <c r="C13" s="171"/>
      <c r="D13" s="171"/>
      <c r="E13" s="171"/>
      <c r="I13" s="171"/>
      <c r="J13" s="171"/>
      <c r="K13" s="171"/>
      <c r="L13" s="1071"/>
      <c r="M13" s="138"/>
      <c r="N13" s="580"/>
      <c r="P13" s="179"/>
      <c r="Q13" s="179"/>
      <c r="R13" s="120"/>
      <c r="S13" s="138"/>
      <c r="T13" s="138"/>
      <c r="U13" s="138"/>
      <c r="V13" s="171"/>
      <c r="W13" s="171"/>
      <c r="X13" s="171"/>
      <c r="Y13" s="138"/>
      <c r="Z13" s="138"/>
      <c r="AA13" s="138"/>
      <c r="AB13" s="171"/>
      <c r="AC13" s="171"/>
      <c r="AD13" s="171"/>
    </row>
    <row r="14" spans="1:30" ht="17" customHeight="1" x14ac:dyDescent="0.35">
      <c r="A14" s="1279"/>
      <c r="B14" s="1289"/>
      <c r="C14" s="190">
        <f>+C28</f>
        <v>0</v>
      </c>
      <c r="D14" s="190">
        <f>+D28</f>
        <v>0</v>
      </c>
      <c r="E14" s="190">
        <f>+E28</f>
        <v>2400</v>
      </c>
      <c r="I14" s="190">
        <f>+I28</f>
        <v>2400</v>
      </c>
      <c r="J14" s="412">
        <v>0</v>
      </c>
      <c r="K14" s="190">
        <f>ROUND((I14/12*10)+J14,0)</f>
        <v>2000</v>
      </c>
      <c r="L14" s="1075">
        <v>0</v>
      </c>
      <c r="M14" s="133">
        <f>+M28</f>
        <v>0</v>
      </c>
      <c r="N14" s="588">
        <f>+N28</f>
        <v>0</v>
      </c>
      <c r="O14" s="151"/>
      <c r="P14" s="1065"/>
      <c r="Q14" s="882"/>
      <c r="R14" s="121"/>
      <c r="S14" s="133">
        <f t="shared" ref="S14:AD14" si="0">+S28</f>
        <v>2400</v>
      </c>
      <c r="T14" s="133">
        <f t="shared" si="0"/>
        <v>2400</v>
      </c>
      <c r="U14" s="133">
        <f t="shared" si="0"/>
        <v>1200</v>
      </c>
      <c r="V14" s="190">
        <f t="shared" si="0"/>
        <v>2400</v>
      </c>
      <c r="W14" s="190">
        <f t="shared" si="0"/>
        <v>2400</v>
      </c>
      <c r="X14" s="190">
        <f t="shared" si="0"/>
        <v>1200</v>
      </c>
      <c r="Y14" s="133">
        <f t="shared" si="0"/>
        <v>2400</v>
      </c>
      <c r="Z14" s="133">
        <f t="shared" si="0"/>
        <v>2400</v>
      </c>
      <c r="AA14" s="133">
        <f t="shared" si="0"/>
        <v>1200</v>
      </c>
      <c r="AB14" s="190">
        <f t="shared" si="0"/>
        <v>2400</v>
      </c>
      <c r="AC14" s="190">
        <f t="shared" si="0"/>
        <v>2400</v>
      </c>
      <c r="AD14" s="190">
        <f t="shared" si="0"/>
        <v>1200</v>
      </c>
    </row>
    <row r="15" spans="1:30" ht="8" customHeight="1" thickBot="1" x14ac:dyDescent="0.4">
      <c r="A15" s="1279"/>
      <c r="B15" s="1289"/>
      <c r="C15" s="171"/>
      <c r="D15" s="171"/>
      <c r="E15" s="171"/>
      <c r="I15" s="171"/>
      <c r="J15" s="171"/>
      <c r="K15" s="171"/>
      <c r="L15" s="1071"/>
      <c r="M15" s="138"/>
      <c r="N15" s="580"/>
      <c r="O15" s="883"/>
      <c r="P15" s="883"/>
      <c r="Q15" s="883"/>
      <c r="R15" s="559"/>
      <c r="S15" s="138"/>
      <c r="T15" s="138"/>
      <c r="U15" s="138"/>
      <c r="V15" s="171"/>
      <c r="W15" s="171"/>
      <c r="X15" s="171"/>
      <c r="Y15" s="138"/>
      <c r="Z15" s="138"/>
      <c r="AA15" s="138"/>
      <c r="AB15" s="171"/>
      <c r="AC15" s="171"/>
      <c r="AD15" s="171"/>
    </row>
    <row r="16" spans="1:30" x14ac:dyDescent="0.35">
      <c r="A16" s="1279"/>
      <c r="B16" s="185" t="s">
        <v>183</v>
      </c>
      <c r="C16" s="407">
        <f>+C12+C14</f>
        <v>58289</v>
      </c>
      <c r="D16" s="407">
        <f>+D12+D14</f>
        <v>29145</v>
      </c>
      <c r="E16" s="560">
        <f>+E12+E14</f>
        <v>65087</v>
      </c>
      <c r="I16" s="407">
        <f t="shared" ref="I16:N16" si="1">+I12+I14</f>
        <v>66953</v>
      </c>
      <c r="J16" s="407">
        <f t="shared" si="1"/>
        <v>10758.833333333334</v>
      </c>
      <c r="K16" s="407">
        <f t="shared" si="1"/>
        <v>66553</v>
      </c>
      <c r="L16" s="1076">
        <f t="shared" si="1"/>
        <v>64553</v>
      </c>
      <c r="M16" s="142">
        <f t="shared" si="1"/>
        <v>68437</v>
      </c>
      <c r="N16" s="875">
        <f t="shared" si="1"/>
        <v>71175</v>
      </c>
      <c r="O16" s="1290" t="s">
        <v>710</v>
      </c>
      <c r="P16" s="1291"/>
      <c r="Q16" s="1292"/>
      <c r="R16" s="202"/>
      <c r="S16" s="142">
        <f t="shared" ref="S16:AD16" si="2">+S12+S14</f>
        <v>78557</v>
      </c>
      <c r="T16" s="142">
        <f t="shared" si="2"/>
        <v>75628</v>
      </c>
      <c r="U16" s="142">
        <f t="shared" si="2"/>
        <v>37814</v>
      </c>
      <c r="V16" s="407">
        <f t="shared" si="2"/>
        <v>79269</v>
      </c>
      <c r="W16" s="407">
        <f t="shared" si="2"/>
        <v>76313</v>
      </c>
      <c r="X16" s="407">
        <f t="shared" si="2"/>
        <v>38156.5</v>
      </c>
      <c r="Y16" s="142">
        <f t="shared" si="2"/>
        <v>79981</v>
      </c>
      <c r="Z16" s="142">
        <f t="shared" si="2"/>
        <v>76997</v>
      </c>
      <c r="AA16" s="142">
        <f t="shared" si="2"/>
        <v>38498.5</v>
      </c>
      <c r="AB16" s="407">
        <f t="shared" si="2"/>
        <v>80693</v>
      </c>
      <c r="AC16" s="407">
        <f t="shared" si="2"/>
        <v>77682</v>
      </c>
      <c r="AD16" s="407">
        <f t="shared" si="2"/>
        <v>38841</v>
      </c>
    </row>
    <row r="17" spans="1:30" ht="6.5" customHeight="1" x14ac:dyDescent="0.35">
      <c r="A17" s="1279"/>
      <c r="B17" s="178"/>
      <c r="C17" s="171"/>
      <c r="D17" s="171"/>
      <c r="E17" s="171"/>
      <c r="I17" s="171"/>
      <c r="J17" s="171"/>
      <c r="K17" s="171"/>
      <c r="L17" s="1071"/>
      <c r="M17" s="138"/>
      <c r="N17" s="874"/>
      <c r="O17" s="1293"/>
      <c r="P17" s="1294"/>
      <c r="Q17" s="1295"/>
      <c r="R17" s="179"/>
      <c r="S17" s="138"/>
      <c r="T17" s="138"/>
      <c r="U17" s="138"/>
      <c r="V17" s="171"/>
      <c r="W17" s="171"/>
      <c r="X17" s="171"/>
      <c r="Y17" s="138"/>
      <c r="Z17" s="138"/>
      <c r="AA17" s="138"/>
      <c r="AB17" s="171"/>
      <c r="AC17" s="171"/>
      <c r="AD17" s="171"/>
    </row>
    <row r="18" spans="1:30" x14ac:dyDescent="0.35">
      <c r="A18" s="1279"/>
      <c r="B18" s="178" t="s">
        <v>517</v>
      </c>
      <c r="C18" s="192">
        <v>7.6499999999999999E-2</v>
      </c>
      <c r="D18" s="192">
        <v>7.6499999999999999E-2</v>
      </c>
      <c r="E18" s="445">
        <v>7.6499999999999999E-2</v>
      </c>
      <c r="F18" s="1281" t="s">
        <v>335</v>
      </c>
      <c r="G18" s="1282"/>
      <c r="H18" s="1283"/>
      <c r="I18" s="445">
        <v>7.6499999999999999E-2</v>
      </c>
      <c r="J18" s="445">
        <v>7.6499999999999999E-2</v>
      </c>
      <c r="K18" s="445">
        <v>7.6499999999999999E-2</v>
      </c>
      <c r="L18" s="1077">
        <v>7.6499999999999999E-2</v>
      </c>
      <c r="M18" s="628">
        <v>7.6499999999999999E-2</v>
      </c>
      <c r="N18" s="876">
        <v>7.6499999999999999E-2</v>
      </c>
      <c r="O18" s="1293"/>
      <c r="P18" s="1294"/>
      <c r="Q18" s="1295"/>
      <c r="R18" s="120"/>
      <c r="S18" s="628">
        <v>7.6499999999999999E-2</v>
      </c>
      <c r="T18" s="628">
        <v>7.6499999999999999E-2</v>
      </c>
      <c r="U18" s="628">
        <v>7.6499999999999999E-2</v>
      </c>
      <c r="V18" s="445">
        <v>7.6499999999999999E-2</v>
      </c>
      <c r="W18" s="445">
        <v>7.6499999999999999E-2</v>
      </c>
      <c r="X18" s="445">
        <v>7.6499999999999999E-2</v>
      </c>
      <c r="Y18" s="628">
        <v>7.6499999999999999E-2</v>
      </c>
      <c r="Z18" s="628">
        <v>7.6499999999999999E-2</v>
      </c>
      <c r="AA18" s="628">
        <v>7.6499999999999999E-2</v>
      </c>
      <c r="AB18" s="445">
        <v>7.6499999999999999E-2</v>
      </c>
      <c r="AC18" s="445">
        <v>7.6499999999999999E-2</v>
      </c>
      <c r="AD18" s="445">
        <v>7.6499999999999999E-2</v>
      </c>
    </row>
    <row r="19" spans="1:30" x14ac:dyDescent="0.35">
      <c r="A19" s="1279"/>
      <c r="B19" s="178" t="s">
        <v>287</v>
      </c>
      <c r="C19" s="190">
        <f>ROUND(+C16*C18,0)</f>
        <v>4459</v>
      </c>
      <c r="D19" s="190">
        <f>ROUND(+D16*D18,0)</f>
        <v>2230</v>
      </c>
      <c r="E19" s="190">
        <f>ROUND(+E16*E18,0)</f>
        <v>4979</v>
      </c>
      <c r="F19" s="141"/>
      <c r="I19" s="190">
        <f t="shared" ref="I19:N19" si="3">ROUND(+I16*I18,0)</f>
        <v>5122</v>
      </c>
      <c r="J19" s="190">
        <f t="shared" si="3"/>
        <v>823</v>
      </c>
      <c r="K19" s="190">
        <f t="shared" si="3"/>
        <v>5091</v>
      </c>
      <c r="L19" s="1075">
        <f t="shared" si="3"/>
        <v>4938</v>
      </c>
      <c r="M19" s="133">
        <f t="shared" si="3"/>
        <v>5235</v>
      </c>
      <c r="N19" s="873">
        <f t="shared" si="3"/>
        <v>5445</v>
      </c>
      <c r="O19" s="1293"/>
      <c r="P19" s="1294"/>
      <c r="Q19" s="1295"/>
      <c r="R19" s="179"/>
      <c r="S19" s="133">
        <f t="shared" ref="S19:AD19" si="4">ROUND(+S16*S18,0)</f>
        <v>6010</v>
      </c>
      <c r="T19" s="133">
        <f t="shared" si="4"/>
        <v>5786</v>
      </c>
      <c r="U19" s="133">
        <f t="shared" si="4"/>
        <v>2893</v>
      </c>
      <c r="V19" s="190">
        <f t="shared" si="4"/>
        <v>6064</v>
      </c>
      <c r="W19" s="190">
        <f t="shared" si="4"/>
        <v>5838</v>
      </c>
      <c r="X19" s="190">
        <f t="shared" si="4"/>
        <v>2919</v>
      </c>
      <c r="Y19" s="133">
        <f t="shared" si="4"/>
        <v>6119</v>
      </c>
      <c r="Z19" s="133">
        <f t="shared" si="4"/>
        <v>5890</v>
      </c>
      <c r="AA19" s="133">
        <f t="shared" si="4"/>
        <v>2945</v>
      </c>
      <c r="AB19" s="190">
        <f t="shared" si="4"/>
        <v>6173</v>
      </c>
      <c r="AC19" s="190">
        <f t="shared" si="4"/>
        <v>5943</v>
      </c>
      <c r="AD19" s="190">
        <f t="shared" si="4"/>
        <v>2971</v>
      </c>
    </row>
    <row r="20" spans="1:30" ht="21" customHeight="1" thickBot="1" x14ac:dyDescent="0.4">
      <c r="A20" s="1280"/>
      <c r="B20" s="193" t="s">
        <v>185</v>
      </c>
      <c r="C20" s="197">
        <f>+C16+C19</f>
        <v>62748</v>
      </c>
      <c r="D20" s="197">
        <f>+D16+D19</f>
        <v>31375</v>
      </c>
      <c r="E20" s="197">
        <f>+E16+E19</f>
        <v>70066</v>
      </c>
      <c r="I20" s="197">
        <f t="shared" ref="I20:N20" si="5">+I16+I19</f>
        <v>72075</v>
      </c>
      <c r="J20" s="197">
        <f t="shared" si="5"/>
        <v>11581.833333333334</v>
      </c>
      <c r="K20" s="197">
        <f t="shared" si="5"/>
        <v>71644</v>
      </c>
      <c r="L20" s="1078">
        <f t="shared" si="5"/>
        <v>69491</v>
      </c>
      <c r="M20" s="144">
        <f t="shared" si="5"/>
        <v>73672</v>
      </c>
      <c r="N20" s="877">
        <f t="shared" si="5"/>
        <v>76620</v>
      </c>
      <c r="O20" s="1296"/>
      <c r="P20" s="1297"/>
      <c r="Q20" s="1298"/>
      <c r="R20" s="179"/>
      <c r="S20" s="144">
        <f t="shared" ref="S20:AD20" si="6">+S16+S19</f>
        <v>84567</v>
      </c>
      <c r="T20" s="144">
        <f t="shared" si="6"/>
        <v>81414</v>
      </c>
      <c r="U20" s="144">
        <f t="shared" si="6"/>
        <v>40707</v>
      </c>
      <c r="V20" s="197">
        <f t="shared" si="6"/>
        <v>85333</v>
      </c>
      <c r="W20" s="197">
        <f t="shared" si="6"/>
        <v>82151</v>
      </c>
      <c r="X20" s="197">
        <f t="shared" si="6"/>
        <v>41075.5</v>
      </c>
      <c r="Y20" s="144">
        <f t="shared" si="6"/>
        <v>86100</v>
      </c>
      <c r="Z20" s="144">
        <f t="shared" si="6"/>
        <v>82887</v>
      </c>
      <c r="AA20" s="144">
        <f t="shared" si="6"/>
        <v>41443.5</v>
      </c>
      <c r="AB20" s="197">
        <f t="shared" si="6"/>
        <v>86866</v>
      </c>
      <c r="AC20" s="197">
        <f t="shared" si="6"/>
        <v>83625</v>
      </c>
      <c r="AD20" s="197">
        <f t="shared" si="6"/>
        <v>41812</v>
      </c>
    </row>
    <row r="21" spans="1:30" ht="8.5" customHeight="1" x14ac:dyDescent="0.35">
      <c r="B21" s="198"/>
      <c r="D21" s="198"/>
      <c r="E21" s="198"/>
      <c r="I21" s="198"/>
      <c r="J21" s="198"/>
      <c r="K21" s="198"/>
      <c r="L21" s="198"/>
      <c r="M21" s="198"/>
      <c r="N21" s="198"/>
      <c r="O21" s="179"/>
      <c r="P21" s="179"/>
      <c r="Q21" s="179"/>
      <c r="R21" s="179"/>
      <c r="S21" s="198"/>
      <c r="T21" s="198"/>
      <c r="U21" s="198"/>
      <c r="V21" s="198"/>
      <c r="W21" s="918"/>
      <c r="X21" s="198"/>
      <c r="Y21" s="198"/>
      <c r="Z21" s="198"/>
      <c r="AA21" s="198"/>
      <c r="AB21" s="198"/>
      <c r="AC21" s="198"/>
      <c r="AD21" s="198"/>
    </row>
    <row r="22" spans="1:30" ht="14.5" hidden="1" customHeight="1" x14ac:dyDescent="0.35">
      <c r="B22" s="164" t="s">
        <v>186</v>
      </c>
      <c r="C22" s="564">
        <f>ROUND(22025*C9,0)</f>
        <v>22025</v>
      </c>
      <c r="D22" s="564">
        <f>ROUND(C22*D$9,0)</f>
        <v>11013</v>
      </c>
      <c r="E22" s="565">
        <v>6000</v>
      </c>
      <c r="F22" s="147"/>
      <c r="G22" s="147"/>
      <c r="H22" s="147"/>
      <c r="I22" s="565">
        <v>6000</v>
      </c>
      <c r="J22" s="565">
        <v>0</v>
      </c>
      <c r="K22" s="564">
        <f>ROUND((I22/12*10)+J22,0)</f>
        <v>5000</v>
      </c>
      <c r="L22" s="565">
        <v>0</v>
      </c>
      <c r="M22" s="778">
        <v>0</v>
      </c>
      <c r="N22" s="836">
        <v>0</v>
      </c>
      <c r="O22" s="179"/>
      <c r="P22" s="179"/>
      <c r="Q22" s="179"/>
      <c r="R22" s="179"/>
      <c r="S22" s="778">
        <v>6000</v>
      </c>
      <c r="T22" s="778">
        <v>6000</v>
      </c>
      <c r="U22" s="778">
        <v>3000</v>
      </c>
      <c r="V22" s="565">
        <v>6000</v>
      </c>
      <c r="W22" s="565">
        <v>6000</v>
      </c>
      <c r="X22" s="565">
        <v>3000</v>
      </c>
      <c r="Y22" s="778">
        <v>6000</v>
      </c>
      <c r="Z22" s="778">
        <v>6000</v>
      </c>
      <c r="AA22" s="778">
        <v>3000</v>
      </c>
      <c r="AB22" s="565">
        <v>6000</v>
      </c>
      <c r="AC22" s="565">
        <v>6000</v>
      </c>
      <c r="AD22" s="565">
        <v>3000</v>
      </c>
    </row>
    <row r="23" spans="1:30" ht="14.5" hidden="1" customHeight="1" x14ac:dyDescent="0.35">
      <c r="A23" s="1064"/>
      <c r="B23" s="178" t="s">
        <v>208</v>
      </c>
      <c r="C23" s="171"/>
      <c r="D23" s="128"/>
      <c r="E23" s="412">
        <v>0</v>
      </c>
      <c r="F23" s="300"/>
      <c r="G23" s="300"/>
      <c r="H23" s="300"/>
      <c r="I23" s="412">
        <v>0</v>
      </c>
      <c r="J23" s="412">
        <v>0</v>
      </c>
      <c r="K23" s="190">
        <f>ROUND((I23/12*10)+J23,0)</f>
        <v>0</v>
      </c>
      <c r="L23" s="412">
        <v>0</v>
      </c>
      <c r="M23" s="627">
        <v>0</v>
      </c>
      <c r="N23" s="592">
        <v>0</v>
      </c>
      <c r="O23" s="179"/>
      <c r="P23" s="179"/>
      <c r="Q23" s="179"/>
      <c r="R23" s="179"/>
      <c r="S23" s="627">
        <v>0</v>
      </c>
      <c r="T23" s="627">
        <v>0</v>
      </c>
      <c r="U23" s="627">
        <v>0</v>
      </c>
      <c r="V23" s="412">
        <v>0</v>
      </c>
      <c r="W23" s="412">
        <v>0</v>
      </c>
      <c r="X23" s="412">
        <v>0</v>
      </c>
      <c r="Y23" s="627">
        <v>0</v>
      </c>
      <c r="Z23" s="627">
        <v>0</v>
      </c>
      <c r="AA23" s="627">
        <v>0</v>
      </c>
      <c r="AB23" s="412">
        <v>0</v>
      </c>
      <c r="AC23" s="412">
        <v>0</v>
      </c>
      <c r="AD23" s="412">
        <v>0</v>
      </c>
    </row>
    <row r="24" spans="1:30" x14ac:dyDescent="0.35">
      <c r="A24" s="1278" t="s">
        <v>188</v>
      </c>
      <c r="B24" s="199" t="s">
        <v>188</v>
      </c>
      <c r="C24" s="165"/>
      <c r="D24" s="1061"/>
      <c r="E24" s="564">
        <f>+E22+E23</f>
        <v>6000</v>
      </c>
      <c r="F24" s="147"/>
      <c r="G24" s="147"/>
      <c r="H24" s="147"/>
      <c r="I24" s="564">
        <f t="shared" ref="I24:N24" si="7">+I22+I23</f>
        <v>6000</v>
      </c>
      <c r="J24" s="564">
        <f t="shared" si="7"/>
        <v>0</v>
      </c>
      <c r="K24" s="564">
        <f t="shared" si="7"/>
        <v>5000</v>
      </c>
      <c r="L24" s="1079">
        <f t="shared" si="7"/>
        <v>0</v>
      </c>
      <c r="M24" s="1062">
        <f t="shared" si="7"/>
        <v>0</v>
      </c>
      <c r="N24" s="1063">
        <f t="shared" si="7"/>
        <v>0</v>
      </c>
      <c r="O24" s="179"/>
      <c r="P24" s="179"/>
      <c r="Q24" s="179"/>
      <c r="R24" s="179"/>
      <c r="S24" s="629">
        <f t="shared" ref="S24:AD24" si="8">+S22+S23</f>
        <v>6000</v>
      </c>
      <c r="T24" s="629">
        <f t="shared" si="8"/>
        <v>6000</v>
      </c>
      <c r="U24" s="629">
        <f t="shared" si="8"/>
        <v>3000</v>
      </c>
      <c r="V24" s="413">
        <f t="shared" si="8"/>
        <v>6000</v>
      </c>
      <c r="W24" s="413">
        <f t="shared" si="8"/>
        <v>6000</v>
      </c>
      <c r="X24" s="413">
        <f t="shared" si="8"/>
        <v>3000</v>
      </c>
      <c r="Y24" s="629">
        <f t="shared" si="8"/>
        <v>6000</v>
      </c>
      <c r="Z24" s="629">
        <f t="shared" si="8"/>
        <v>6000</v>
      </c>
      <c r="AA24" s="629">
        <f t="shared" si="8"/>
        <v>3000</v>
      </c>
      <c r="AB24" s="413">
        <f t="shared" si="8"/>
        <v>6000</v>
      </c>
      <c r="AC24" s="413">
        <f t="shared" si="8"/>
        <v>6000</v>
      </c>
      <c r="AD24" s="413">
        <f t="shared" si="8"/>
        <v>3000</v>
      </c>
    </row>
    <row r="25" spans="1:30" ht="14.5" customHeight="1" x14ac:dyDescent="0.35">
      <c r="A25" s="1279"/>
      <c r="B25" s="186" t="s">
        <v>693</v>
      </c>
      <c r="C25" s="171"/>
      <c r="D25" s="180"/>
      <c r="E25" s="449">
        <v>0</v>
      </c>
      <c r="F25" s="1060"/>
      <c r="G25" s="1060"/>
      <c r="H25" s="1060"/>
      <c r="I25" s="449">
        <v>0</v>
      </c>
      <c r="J25" s="449">
        <f>835*4</f>
        <v>3340</v>
      </c>
      <c r="K25" s="413">
        <f>ROUND((I25/12*10)+J25,0)</f>
        <v>3340</v>
      </c>
      <c r="L25" s="1080">
        <f>835*12*2</f>
        <v>20040</v>
      </c>
      <c r="M25" s="1056">
        <f>835*12*2</f>
        <v>20040</v>
      </c>
      <c r="N25" s="1057">
        <v>20040</v>
      </c>
      <c r="O25" s="179"/>
      <c r="P25" s="179"/>
      <c r="Q25" s="179"/>
      <c r="R25" s="179"/>
      <c r="S25" s="138"/>
      <c r="T25" s="138"/>
      <c r="U25" s="138"/>
      <c r="V25" s="171"/>
      <c r="W25" s="171"/>
      <c r="X25" s="171"/>
      <c r="Y25" s="138"/>
      <c r="Z25" s="138"/>
      <c r="AA25" s="138"/>
      <c r="AB25" s="171"/>
      <c r="AC25" s="171"/>
      <c r="AD25" s="171"/>
    </row>
    <row r="26" spans="1:30" x14ac:dyDescent="0.35">
      <c r="A26" s="1279"/>
      <c r="B26" s="178" t="s">
        <v>299</v>
      </c>
      <c r="C26" s="171"/>
      <c r="D26" s="128"/>
      <c r="E26" s="412">
        <v>1800</v>
      </c>
      <c r="F26" s="300"/>
      <c r="G26" s="300"/>
      <c r="H26" s="300"/>
      <c r="I26" s="412">
        <v>1800</v>
      </c>
      <c r="J26" s="412">
        <v>0</v>
      </c>
      <c r="K26" s="190">
        <f>+I26/12*10</f>
        <v>1500</v>
      </c>
      <c r="L26" s="1081">
        <v>0</v>
      </c>
      <c r="M26" s="627">
        <v>0</v>
      </c>
      <c r="N26" s="592">
        <v>0</v>
      </c>
      <c r="O26" s="179"/>
      <c r="P26" s="179"/>
      <c r="Q26" s="179"/>
      <c r="R26" s="179"/>
      <c r="S26" s="627">
        <v>1800</v>
      </c>
      <c r="T26" s="627">
        <v>1800</v>
      </c>
      <c r="U26" s="627">
        <v>900</v>
      </c>
      <c r="V26" s="412">
        <v>1800</v>
      </c>
      <c r="W26" s="412">
        <v>1800</v>
      </c>
      <c r="X26" s="412">
        <v>900</v>
      </c>
      <c r="Y26" s="627">
        <v>1800</v>
      </c>
      <c r="Z26" s="627">
        <v>1800</v>
      </c>
      <c r="AA26" s="627">
        <v>900</v>
      </c>
      <c r="AB26" s="412">
        <v>1800</v>
      </c>
      <c r="AC26" s="412">
        <v>1800</v>
      </c>
      <c r="AD26" s="412">
        <v>900</v>
      </c>
    </row>
    <row r="27" spans="1:30" x14ac:dyDescent="0.35">
      <c r="A27" s="1279"/>
      <c r="B27" s="178" t="s">
        <v>511</v>
      </c>
      <c r="C27" s="171"/>
      <c r="D27" s="775"/>
      <c r="E27" s="445">
        <v>0.25</v>
      </c>
      <c r="F27" s="149"/>
      <c r="G27" s="300"/>
      <c r="H27" s="300"/>
      <c r="I27" s="445">
        <v>0.25</v>
      </c>
      <c r="J27" s="445">
        <v>0.25</v>
      </c>
      <c r="K27" s="445">
        <v>0.25</v>
      </c>
      <c r="L27" s="1077">
        <v>0.25</v>
      </c>
      <c r="M27" s="628">
        <v>0.25</v>
      </c>
      <c r="N27" s="595">
        <v>0.25</v>
      </c>
      <c r="O27" s="179"/>
      <c r="P27" s="179"/>
      <c r="Q27" s="179"/>
      <c r="R27" s="179"/>
      <c r="S27" s="628">
        <v>0.25</v>
      </c>
      <c r="T27" s="628">
        <v>0.25</v>
      </c>
      <c r="U27" s="628">
        <v>0.25</v>
      </c>
      <c r="V27" s="445">
        <v>0.25</v>
      </c>
      <c r="W27" s="445">
        <v>0.25</v>
      </c>
      <c r="X27" s="445">
        <v>0.25</v>
      </c>
      <c r="Y27" s="628">
        <v>0.25</v>
      </c>
      <c r="Z27" s="628">
        <v>0.25</v>
      </c>
      <c r="AA27" s="628">
        <v>0.25</v>
      </c>
      <c r="AB27" s="445">
        <v>0.25</v>
      </c>
      <c r="AC27" s="445">
        <v>0.25</v>
      </c>
      <c r="AD27" s="445">
        <v>0.25</v>
      </c>
    </row>
    <row r="28" spans="1:30" x14ac:dyDescent="0.35">
      <c r="A28" s="1279"/>
      <c r="B28" s="186" t="s">
        <v>331</v>
      </c>
      <c r="C28" s="449">
        <v>0</v>
      </c>
      <c r="D28" s="448">
        <v>0</v>
      </c>
      <c r="E28" s="413">
        <f>ROUND(+E26/(1-E27),0)</f>
        <v>2400</v>
      </c>
      <c r="F28" s="149"/>
      <c r="G28" s="300"/>
      <c r="H28" s="300"/>
      <c r="I28" s="413">
        <f t="shared" ref="I28:N28" si="9">ROUND(+I26/(1-I27),0)</f>
        <v>2400</v>
      </c>
      <c r="J28" s="413">
        <f t="shared" si="9"/>
        <v>0</v>
      </c>
      <c r="K28" s="413">
        <f t="shared" si="9"/>
        <v>2000</v>
      </c>
      <c r="L28" s="1082">
        <f t="shared" si="9"/>
        <v>0</v>
      </c>
      <c r="M28" s="629">
        <f t="shared" si="9"/>
        <v>0</v>
      </c>
      <c r="N28" s="597">
        <f t="shared" si="9"/>
        <v>0</v>
      </c>
      <c r="O28" s="179"/>
      <c r="P28" s="179"/>
      <c r="Q28" s="179"/>
      <c r="R28" s="179"/>
      <c r="S28" s="629">
        <f t="shared" ref="S28:AD28" si="10">ROUND(+S26/(1-S27),0)</f>
        <v>2400</v>
      </c>
      <c r="T28" s="629">
        <f t="shared" si="10"/>
        <v>2400</v>
      </c>
      <c r="U28" s="629">
        <f t="shared" si="10"/>
        <v>1200</v>
      </c>
      <c r="V28" s="413">
        <f t="shared" si="10"/>
        <v>2400</v>
      </c>
      <c r="W28" s="413">
        <f t="shared" si="10"/>
        <v>2400</v>
      </c>
      <c r="X28" s="413">
        <f t="shared" si="10"/>
        <v>1200</v>
      </c>
      <c r="Y28" s="629">
        <f t="shared" si="10"/>
        <v>2400</v>
      </c>
      <c r="Z28" s="629">
        <f t="shared" si="10"/>
        <v>2400</v>
      </c>
      <c r="AA28" s="629">
        <f t="shared" si="10"/>
        <v>1200</v>
      </c>
      <c r="AB28" s="413">
        <f t="shared" si="10"/>
        <v>2400</v>
      </c>
      <c r="AC28" s="413">
        <f t="shared" si="10"/>
        <v>2400</v>
      </c>
      <c r="AD28" s="413">
        <f t="shared" si="10"/>
        <v>1200</v>
      </c>
    </row>
    <row r="29" spans="1:30" x14ac:dyDescent="0.35">
      <c r="A29" s="1280"/>
      <c r="B29" s="193" t="s">
        <v>189</v>
      </c>
      <c r="C29" s="561">
        <v>0</v>
      </c>
      <c r="D29" s="776">
        <v>0</v>
      </c>
      <c r="E29" s="197">
        <f>+E24-E26</f>
        <v>4200</v>
      </c>
      <c r="F29" s="300"/>
      <c r="G29" s="300"/>
      <c r="H29" s="300"/>
      <c r="I29" s="197">
        <f t="shared" ref="I29:N29" si="11">+I24-I26</f>
        <v>4200</v>
      </c>
      <c r="J29" s="197">
        <f t="shared" si="11"/>
        <v>0</v>
      </c>
      <c r="K29" s="197">
        <f t="shared" si="11"/>
        <v>3500</v>
      </c>
      <c r="L29" s="1078">
        <f t="shared" si="11"/>
        <v>0</v>
      </c>
      <c r="M29" s="144">
        <f t="shared" si="11"/>
        <v>0</v>
      </c>
      <c r="N29" s="590">
        <f t="shared" si="11"/>
        <v>0</v>
      </c>
      <c r="O29" s="179"/>
      <c r="P29" s="151"/>
      <c r="Q29" s="179"/>
      <c r="R29" s="179"/>
      <c r="S29" s="144">
        <f t="shared" ref="S29:AD29" si="12">+S24-S26</f>
        <v>4200</v>
      </c>
      <c r="T29" s="144">
        <f t="shared" si="12"/>
        <v>4200</v>
      </c>
      <c r="U29" s="144">
        <f t="shared" si="12"/>
        <v>2100</v>
      </c>
      <c r="V29" s="197">
        <f t="shared" si="12"/>
        <v>4200</v>
      </c>
      <c r="W29" s="197">
        <f t="shared" si="12"/>
        <v>4200</v>
      </c>
      <c r="X29" s="197">
        <f t="shared" si="12"/>
        <v>2100</v>
      </c>
      <c r="Y29" s="144">
        <f t="shared" si="12"/>
        <v>4200</v>
      </c>
      <c r="Z29" s="144">
        <f t="shared" si="12"/>
        <v>4200</v>
      </c>
      <c r="AA29" s="144">
        <f t="shared" si="12"/>
        <v>2100</v>
      </c>
      <c r="AB29" s="197">
        <f t="shared" si="12"/>
        <v>4200</v>
      </c>
      <c r="AC29" s="197">
        <f t="shared" si="12"/>
        <v>4200</v>
      </c>
      <c r="AD29" s="197">
        <f t="shared" si="12"/>
        <v>2100</v>
      </c>
    </row>
    <row r="30" spans="1:30" ht="7" customHeight="1" x14ac:dyDescent="0.35">
      <c r="B30" s="198"/>
      <c r="D30" s="198"/>
      <c r="E30" s="198"/>
      <c r="I30" s="198"/>
      <c r="J30" s="198"/>
      <c r="K30" s="198"/>
      <c r="L30" s="198"/>
      <c r="M30" s="198"/>
      <c r="N30" s="198"/>
      <c r="O30" s="179"/>
      <c r="P30" s="179"/>
      <c r="Q30" s="179"/>
      <c r="R30" s="179"/>
      <c r="S30" s="198"/>
      <c r="T30" s="198"/>
      <c r="U30" s="198"/>
      <c r="V30" s="198"/>
      <c r="W30" s="198"/>
      <c r="X30" s="198"/>
      <c r="Y30" s="198"/>
      <c r="Z30" s="198"/>
      <c r="AA30" s="198"/>
      <c r="AB30" s="198"/>
      <c r="AC30" s="198"/>
      <c r="AD30" s="198"/>
    </row>
    <row r="31" spans="1:30" x14ac:dyDescent="0.35">
      <c r="A31" s="1278" t="s">
        <v>165</v>
      </c>
      <c r="B31" s="199" t="s">
        <v>512</v>
      </c>
      <c r="C31" s="437">
        <v>0.1</v>
      </c>
      <c r="D31" s="437">
        <v>0.1</v>
      </c>
      <c r="E31" s="414">
        <v>0.1</v>
      </c>
      <c r="I31" s="414">
        <v>0.1</v>
      </c>
      <c r="J31" s="414">
        <v>0.1</v>
      </c>
      <c r="K31" s="414"/>
      <c r="L31" s="1083">
        <v>0.1</v>
      </c>
      <c r="M31" s="623">
        <v>0.1</v>
      </c>
      <c r="N31" s="606">
        <v>0.1</v>
      </c>
      <c r="O31" s="179"/>
      <c r="P31" s="179"/>
      <c r="Q31" s="179"/>
      <c r="R31" s="179"/>
      <c r="S31" s="623">
        <v>0.1</v>
      </c>
      <c r="T31" s="623">
        <v>0.1</v>
      </c>
      <c r="U31" s="623">
        <v>0.1</v>
      </c>
      <c r="V31" s="414">
        <v>0.1</v>
      </c>
      <c r="W31" s="414">
        <v>0.1</v>
      </c>
      <c r="X31" s="414">
        <v>0.1</v>
      </c>
      <c r="Y31" s="623">
        <v>0.1</v>
      </c>
      <c r="Z31" s="623">
        <v>0.1</v>
      </c>
      <c r="AA31" s="623">
        <v>0.1</v>
      </c>
      <c r="AB31" s="414">
        <v>0.1</v>
      </c>
      <c r="AC31" s="414">
        <v>0.1</v>
      </c>
      <c r="AD31" s="414">
        <v>0.1</v>
      </c>
    </row>
    <row r="32" spans="1:30" x14ac:dyDescent="0.35">
      <c r="A32" s="1279"/>
      <c r="B32" s="178" t="s">
        <v>193</v>
      </c>
      <c r="C32" s="168">
        <f>+C20</f>
        <v>62748</v>
      </c>
      <c r="D32" s="168">
        <f>+D20</f>
        <v>31375</v>
      </c>
      <c r="E32" s="438">
        <f>+E20</f>
        <v>70066</v>
      </c>
      <c r="I32" s="438">
        <f>+I20</f>
        <v>72075</v>
      </c>
      <c r="J32" s="438">
        <f>+J20</f>
        <v>11581.833333333334</v>
      </c>
      <c r="K32" s="438">
        <f>ROUND((I32/12*10)+J32,0)</f>
        <v>71644</v>
      </c>
      <c r="L32" s="1084">
        <f>+L20</f>
        <v>69491</v>
      </c>
      <c r="M32" s="422">
        <f>+M20</f>
        <v>73672</v>
      </c>
      <c r="N32" s="784">
        <f>+N20</f>
        <v>76620</v>
      </c>
      <c r="O32" s="179"/>
      <c r="P32" s="179"/>
      <c r="Q32" s="179"/>
      <c r="R32" s="179"/>
      <c r="S32" s="422">
        <f t="shared" ref="S32:AD32" si="13">+S20</f>
        <v>84567</v>
      </c>
      <c r="T32" s="422">
        <f t="shared" si="13"/>
        <v>81414</v>
      </c>
      <c r="U32" s="422">
        <f t="shared" si="13"/>
        <v>40707</v>
      </c>
      <c r="V32" s="438">
        <f t="shared" si="13"/>
        <v>85333</v>
      </c>
      <c r="W32" s="438">
        <f t="shared" si="13"/>
        <v>82151</v>
      </c>
      <c r="X32" s="438">
        <f t="shared" si="13"/>
        <v>41075.5</v>
      </c>
      <c r="Y32" s="422">
        <f t="shared" si="13"/>
        <v>86100</v>
      </c>
      <c r="Z32" s="422">
        <f t="shared" si="13"/>
        <v>82887</v>
      </c>
      <c r="AA32" s="422">
        <f t="shared" si="13"/>
        <v>41443.5</v>
      </c>
      <c r="AB32" s="438">
        <f t="shared" si="13"/>
        <v>86866</v>
      </c>
      <c r="AC32" s="438">
        <f t="shared" si="13"/>
        <v>83625</v>
      </c>
      <c r="AD32" s="438">
        <f t="shared" si="13"/>
        <v>41812</v>
      </c>
    </row>
    <row r="33" spans="1:30" x14ac:dyDescent="0.35">
      <c r="A33" s="1279"/>
      <c r="B33" s="178" t="s">
        <v>165</v>
      </c>
      <c r="C33" s="168">
        <f>ROUND(+C32*C31,0)</f>
        <v>6275</v>
      </c>
      <c r="D33" s="168">
        <f>ROUND(+D32*D31,0)</f>
        <v>3138</v>
      </c>
      <c r="E33" s="438">
        <f>ROUND(+E32*E31,0)</f>
        <v>7007</v>
      </c>
      <c r="I33" s="438">
        <f>ROUND(+I32*I31,0)</f>
        <v>7208</v>
      </c>
      <c r="J33" s="438">
        <f>ROUND(+J32*J31,0)</f>
        <v>1158</v>
      </c>
      <c r="K33" s="438">
        <f>ROUND((I33/12*10)+J33,0)</f>
        <v>7165</v>
      </c>
      <c r="L33" s="1084">
        <f>ROUND(+L32*L31,0)</f>
        <v>6949</v>
      </c>
      <c r="M33" s="422">
        <f>ROUND(+M32*M31,0)</f>
        <v>7367</v>
      </c>
      <c r="N33" s="784">
        <f>ROUND(+N32*N31,0)</f>
        <v>7662</v>
      </c>
      <c r="S33" s="422">
        <f t="shared" ref="S33:AD33" si="14">ROUND(+S32*S31,0)</f>
        <v>8457</v>
      </c>
      <c r="T33" s="422">
        <f t="shared" si="14"/>
        <v>8141</v>
      </c>
      <c r="U33" s="422">
        <f t="shared" si="14"/>
        <v>4071</v>
      </c>
      <c r="V33" s="438">
        <f t="shared" si="14"/>
        <v>8533</v>
      </c>
      <c r="W33" s="438">
        <f t="shared" si="14"/>
        <v>8215</v>
      </c>
      <c r="X33" s="438">
        <f t="shared" si="14"/>
        <v>4108</v>
      </c>
      <c r="Y33" s="422">
        <f t="shared" si="14"/>
        <v>8610</v>
      </c>
      <c r="Z33" s="422">
        <f t="shared" si="14"/>
        <v>8289</v>
      </c>
      <c r="AA33" s="422">
        <f t="shared" si="14"/>
        <v>4144</v>
      </c>
      <c r="AB33" s="438">
        <f t="shared" si="14"/>
        <v>8687</v>
      </c>
      <c r="AC33" s="438">
        <f t="shared" si="14"/>
        <v>8363</v>
      </c>
      <c r="AD33" s="438">
        <f t="shared" si="14"/>
        <v>4181</v>
      </c>
    </row>
    <row r="34" spans="1:30" x14ac:dyDescent="0.35">
      <c r="A34" s="1279"/>
      <c r="B34" s="178" t="s">
        <v>191</v>
      </c>
      <c r="C34" s="168">
        <f>+C29</f>
        <v>0</v>
      </c>
      <c r="D34" s="168">
        <f>+D29</f>
        <v>0</v>
      </c>
      <c r="E34" s="438">
        <f>+E29</f>
        <v>4200</v>
      </c>
      <c r="I34" s="438">
        <f>+I29</f>
        <v>4200</v>
      </c>
      <c r="J34" s="438">
        <f>+J29</f>
        <v>0</v>
      </c>
      <c r="K34" s="438">
        <f>ROUND((I34/12*10)+J34,0)</f>
        <v>3500</v>
      </c>
      <c r="L34" s="1084">
        <f>+L29</f>
        <v>0</v>
      </c>
      <c r="M34" s="422">
        <f>+M29</f>
        <v>0</v>
      </c>
      <c r="N34" s="784">
        <f>+N29</f>
        <v>0</v>
      </c>
      <c r="S34" s="422">
        <f t="shared" ref="S34:AD34" si="15">+S29</f>
        <v>4200</v>
      </c>
      <c r="T34" s="422">
        <f t="shared" si="15"/>
        <v>4200</v>
      </c>
      <c r="U34" s="422">
        <f t="shared" si="15"/>
        <v>2100</v>
      </c>
      <c r="V34" s="438">
        <f t="shared" si="15"/>
        <v>4200</v>
      </c>
      <c r="W34" s="438">
        <f t="shared" si="15"/>
        <v>4200</v>
      </c>
      <c r="X34" s="438">
        <f t="shared" si="15"/>
        <v>2100</v>
      </c>
      <c r="Y34" s="422">
        <f t="shared" si="15"/>
        <v>4200</v>
      </c>
      <c r="Z34" s="422">
        <f t="shared" si="15"/>
        <v>4200</v>
      </c>
      <c r="AA34" s="422">
        <f t="shared" si="15"/>
        <v>2100</v>
      </c>
      <c r="AB34" s="438">
        <f t="shared" si="15"/>
        <v>4200</v>
      </c>
      <c r="AC34" s="438">
        <f t="shared" si="15"/>
        <v>4200</v>
      </c>
      <c r="AD34" s="438">
        <f t="shared" si="15"/>
        <v>2100</v>
      </c>
    </row>
    <row r="35" spans="1:30" x14ac:dyDescent="0.35">
      <c r="A35" s="1279"/>
      <c r="B35" s="178" t="s">
        <v>301</v>
      </c>
      <c r="C35" s="168"/>
      <c r="D35" s="168"/>
      <c r="E35" s="438">
        <f>+E34+E33</f>
        <v>11207</v>
      </c>
      <c r="I35" s="438">
        <f t="shared" ref="I35:N35" si="16">+I34+I33</f>
        <v>11408</v>
      </c>
      <c r="J35" s="438">
        <f t="shared" si="16"/>
        <v>1158</v>
      </c>
      <c r="K35" s="438">
        <f t="shared" si="16"/>
        <v>10665</v>
      </c>
      <c r="L35" s="1084">
        <f t="shared" si="16"/>
        <v>6949</v>
      </c>
      <c r="M35" s="422">
        <f t="shared" si="16"/>
        <v>7367</v>
      </c>
      <c r="N35" s="784">
        <f t="shared" si="16"/>
        <v>7662</v>
      </c>
      <c r="S35" s="422">
        <f t="shared" ref="S35:AD35" si="17">+S34+S33</f>
        <v>12657</v>
      </c>
      <c r="T35" s="422">
        <f t="shared" si="17"/>
        <v>12341</v>
      </c>
      <c r="U35" s="422">
        <f t="shared" si="17"/>
        <v>6171</v>
      </c>
      <c r="V35" s="438">
        <f t="shared" si="17"/>
        <v>12733</v>
      </c>
      <c r="W35" s="438">
        <f t="shared" si="17"/>
        <v>12415</v>
      </c>
      <c r="X35" s="438">
        <f t="shared" si="17"/>
        <v>6208</v>
      </c>
      <c r="Y35" s="422">
        <f t="shared" si="17"/>
        <v>12810</v>
      </c>
      <c r="Z35" s="422">
        <f t="shared" si="17"/>
        <v>12489</v>
      </c>
      <c r="AA35" s="422">
        <f t="shared" si="17"/>
        <v>6244</v>
      </c>
      <c r="AB35" s="438">
        <f t="shared" si="17"/>
        <v>12887</v>
      </c>
      <c r="AC35" s="438">
        <f t="shared" si="17"/>
        <v>12563</v>
      </c>
      <c r="AD35" s="438">
        <f t="shared" si="17"/>
        <v>6281</v>
      </c>
    </row>
    <row r="36" spans="1:30" x14ac:dyDescent="0.35">
      <c r="A36" s="1279"/>
      <c r="B36" s="178" t="s">
        <v>196</v>
      </c>
      <c r="C36" s="847">
        <f>+C38/C32</f>
        <v>0.10000318735258494</v>
      </c>
      <c r="D36" s="847">
        <f>+D38/D32</f>
        <v>0.10001593625498008</v>
      </c>
      <c r="E36" s="620">
        <f>+E35/E20</f>
        <v>0.15994919076299488</v>
      </c>
      <c r="I36" s="620">
        <f>+I35/I20</f>
        <v>0.15827956989247313</v>
      </c>
      <c r="J36" s="620">
        <f>+J35/J20</f>
        <v>9.9984170612021694E-2</v>
      </c>
      <c r="K36" s="620">
        <f>+K35/K20</f>
        <v>0.14886103511808385</v>
      </c>
      <c r="L36" s="1085">
        <f>IF(L20=0,0,+L35/L20)</f>
        <v>9.9998560964729241E-2</v>
      </c>
      <c r="M36" s="444">
        <f>IF(M20=0,0,+M35/M20)</f>
        <v>9.9997285264415245E-2</v>
      </c>
      <c r="N36" s="585">
        <f>+N35/N20</f>
        <v>0.1</v>
      </c>
      <c r="S36" s="444">
        <f t="shared" ref="S36:AD36" si="18">+S35/S20</f>
        <v>0.14966831033381817</v>
      </c>
      <c r="T36" s="444">
        <f t="shared" si="18"/>
        <v>0.15158326577738473</v>
      </c>
      <c r="U36" s="444">
        <f t="shared" si="18"/>
        <v>0.15159554867713171</v>
      </c>
      <c r="V36" s="620">
        <f t="shared" si="18"/>
        <v>0.14921542662276024</v>
      </c>
      <c r="W36" s="620">
        <f t="shared" si="18"/>
        <v>0.15112414943214325</v>
      </c>
      <c r="X36" s="620">
        <f t="shared" si="18"/>
        <v>0.15113632213850106</v>
      </c>
      <c r="Y36" s="444">
        <f t="shared" si="18"/>
        <v>0.14878048780487804</v>
      </c>
      <c r="Z36" s="444">
        <f t="shared" si="18"/>
        <v>0.15067501538238806</v>
      </c>
      <c r="AA36" s="444">
        <f t="shared" si="18"/>
        <v>0.15066295076429356</v>
      </c>
      <c r="AB36" s="620">
        <f t="shared" si="18"/>
        <v>0.14835493748992701</v>
      </c>
      <c r="AC36" s="620">
        <f t="shared" si="18"/>
        <v>0.15023019431988041</v>
      </c>
      <c r="AD36" s="620">
        <f t="shared" si="18"/>
        <v>0.15022003252654739</v>
      </c>
    </row>
    <row r="37" spans="1:30" x14ac:dyDescent="0.35">
      <c r="A37" s="1279"/>
      <c r="B37" s="178" t="s">
        <v>300</v>
      </c>
      <c r="C37" s="168"/>
      <c r="D37" s="168"/>
      <c r="E37" s="621">
        <v>0.16</v>
      </c>
      <c r="I37" s="621">
        <v>0.16</v>
      </c>
      <c r="J37" s="621">
        <v>0.1</v>
      </c>
      <c r="K37" s="621"/>
      <c r="L37" s="1086">
        <v>0.1</v>
      </c>
      <c r="M37" s="626">
        <v>0.1</v>
      </c>
      <c r="N37" s="586">
        <v>0.1</v>
      </c>
      <c r="S37" s="626">
        <v>0.155</v>
      </c>
      <c r="T37" s="626">
        <v>0.155</v>
      </c>
      <c r="U37" s="626">
        <v>0.155</v>
      </c>
      <c r="V37" s="621">
        <v>0.15</v>
      </c>
      <c r="W37" s="621">
        <v>0.155</v>
      </c>
      <c r="X37" s="621">
        <v>0.155</v>
      </c>
      <c r="Y37" s="626">
        <v>0.15</v>
      </c>
      <c r="Z37" s="626">
        <v>0.155</v>
      </c>
      <c r="AA37" s="626">
        <v>0.155</v>
      </c>
      <c r="AB37" s="621">
        <v>0.15</v>
      </c>
      <c r="AC37" s="621">
        <v>0.155</v>
      </c>
      <c r="AD37" s="621">
        <v>0.155</v>
      </c>
    </row>
    <row r="38" spans="1:30" x14ac:dyDescent="0.35">
      <c r="A38" s="1280"/>
      <c r="B38" s="193" t="s">
        <v>192</v>
      </c>
      <c r="C38" s="197">
        <f>+C33+C34</f>
        <v>6275</v>
      </c>
      <c r="D38" s="197">
        <f>+D33+D34</f>
        <v>3138</v>
      </c>
      <c r="E38" s="410">
        <f>ROUND(+E37*E20,0)</f>
        <v>11211</v>
      </c>
      <c r="I38" s="410">
        <f>ROUND(+I37*I20,0)</f>
        <v>11532</v>
      </c>
      <c r="J38" s="410">
        <f>ROUND(+J37*J20,0)</f>
        <v>1158</v>
      </c>
      <c r="K38" s="410">
        <f>+K35</f>
        <v>10665</v>
      </c>
      <c r="L38" s="1087">
        <f>ROUND(+L37*L20,0)</f>
        <v>6949</v>
      </c>
      <c r="M38" s="218">
        <f>ROUND(+M37*M20,0)</f>
        <v>7367</v>
      </c>
      <c r="N38" s="616">
        <f>ROUND(+N37*N20,0)</f>
        <v>7662</v>
      </c>
      <c r="P38" s="141"/>
      <c r="S38" s="218">
        <f t="shared" ref="S38:AD38" si="19">ROUND(+S37*S20,0)</f>
        <v>13108</v>
      </c>
      <c r="T38" s="218">
        <f t="shared" si="19"/>
        <v>12619</v>
      </c>
      <c r="U38" s="218">
        <f t="shared" si="19"/>
        <v>6310</v>
      </c>
      <c r="V38" s="410">
        <f t="shared" si="19"/>
        <v>12800</v>
      </c>
      <c r="W38" s="410">
        <f t="shared" si="19"/>
        <v>12733</v>
      </c>
      <c r="X38" s="410">
        <f t="shared" si="19"/>
        <v>6367</v>
      </c>
      <c r="Y38" s="218">
        <f t="shared" si="19"/>
        <v>12915</v>
      </c>
      <c r="Z38" s="218">
        <f t="shared" si="19"/>
        <v>12847</v>
      </c>
      <c r="AA38" s="218">
        <f t="shared" si="19"/>
        <v>6424</v>
      </c>
      <c r="AB38" s="410">
        <f t="shared" si="19"/>
        <v>13030</v>
      </c>
      <c r="AC38" s="410">
        <f t="shared" si="19"/>
        <v>12962</v>
      </c>
      <c r="AD38" s="410">
        <f t="shared" si="19"/>
        <v>6481</v>
      </c>
    </row>
    <row r="39" spans="1:30" ht="7" customHeight="1" x14ac:dyDescent="0.35">
      <c r="B39" s="198"/>
      <c r="D39" s="198"/>
      <c r="E39" s="198"/>
      <c r="I39" s="198"/>
      <c r="J39" s="198"/>
      <c r="K39" s="198"/>
      <c r="L39" s="198"/>
      <c r="M39" s="198"/>
      <c r="N39" s="198"/>
      <c r="S39" s="198"/>
      <c r="T39" s="198"/>
      <c r="U39" s="198"/>
      <c r="V39" s="198"/>
      <c r="W39" s="198"/>
      <c r="X39" s="198"/>
      <c r="Y39" s="198"/>
      <c r="Z39" s="198"/>
      <c r="AA39" s="198"/>
      <c r="AB39" s="198"/>
      <c r="AC39" s="198"/>
      <c r="AD39" s="198"/>
    </row>
    <row r="40" spans="1:30" x14ac:dyDescent="0.35">
      <c r="A40" s="1278" t="s">
        <v>166</v>
      </c>
      <c r="B40" s="164" t="s">
        <v>513</v>
      </c>
      <c r="C40" s="437">
        <v>1.4999999999999999E-2</v>
      </c>
      <c r="D40" s="437">
        <v>1.4999999999999999E-2</v>
      </c>
      <c r="E40" s="437">
        <v>1.4999999999999999E-2</v>
      </c>
      <c r="I40" s="437">
        <v>1.4999999999999999E-2</v>
      </c>
      <c r="J40" s="437">
        <v>1.4999999999999999E-2</v>
      </c>
      <c r="K40" s="437">
        <v>1.4999999999999999E-2</v>
      </c>
      <c r="L40" s="1088">
        <v>1.4999999999999999E-2</v>
      </c>
      <c r="M40" s="418">
        <v>1.4999999999999999E-2</v>
      </c>
      <c r="N40" s="837">
        <v>1.4999999999999999E-2</v>
      </c>
      <c r="S40" s="418">
        <v>1.4999999999999999E-2</v>
      </c>
      <c r="T40" s="418">
        <v>1.4999999999999999E-2</v>
      </c>
      <c r="U40" s="418">
        <v>1.4999999999999999E-2</v>
      </c>
      <c r="V40" s="437">
        <v>1.4999999999999999E-2</v>
      </c>
      <c r="W40" s="437">
        <v>1.4999999999999999E-2</v>
      </c>
      <c r="X40" s="437">
        <v>1.4999999999999999E-2</v>
      </c>
      <c r="Y40" s="418">
        <v>1.4999999999999999E-2</v>
      </c>
      <c r="Z40" s="418">
        <v>1.4999999999999999E-2</v>
      </c>
      <c r="AA40" s="418">
        <v>1.4999999999999999E-2</v>
      </c>
      <c r="AB40" s="437">
        <v>1.4999999999999999E-2</v>
      </c>
      <c r="AC40" s="437">
        <v>1.4999999999999999E-2</v>
      </c>
      <c r="AD40" s="437">
        <v>1.4999999999999999E-2</v>
      </c>
    </row>
    <row r="41" spans="1:30" x14ac:dyDescent="0.35">
      <c r="A41" s="1279"/>
      <c r="B41" s="178" t="s">
        <v>514</v>
      </c>
      <c r="C41" s="415">
        <v>7.0000000000000001E-3</v>
      </c>
      <c r="D41" s="415">
        <v>7.0000000000000001E-3</v>
      </c>
      <c r="E41" s="415">
        <v>7.0000000000000001E-3</v>
      </c>
      <c r="I41" s="415">
        <v>7.0000000000000001E-3</v>
      </c>
      <c r="J41" s="415">
        <v>7.0000000000000001E-3</v>
      </c>
      <c r="K41" s="415">
        <v>7.0000000000000001E-3</v>
      </c>
      <c r="L41" s="1073">
        <v>7.0000000000000001E-3</v>
      </c>
      <c r="M41" s="419">
        <v>7.0000000000000001E-3</v>
      </c>
      <c r="N41" s="612">
        <v>7.0000000000000001E-3</v>
      </c>
      <c r="P41" s="141"/>
      <c r="S41" s="419">
        <v>7.0000000000000001E-3</v>
      </c>
      <c r="T41" s="419">
        <v>7.0000000000000001E-3</v>
      </c>
      <c r="U41" s="419">
        <v>7.0000000000000001E-3</v>
      </c>
      <c r="V41" s="415">
        <v>7.0000000000000001E-3</v>
      </c>
      <c r="W41" s="415">
        <v>7.0000000000000001E-3</v>
      </c>
      <c r="X41" s="415">
        <v>7.0000000000000001E-3</v>
      </c>
      <c r="Y41" s="419">
        <v>7.0000000000000001E-3</v>
      </c>
      <c r="Z41" s="419">
        <v>7.0000000000000001E-3</v>
      </c>
      <c r="AA41" s="419">
        <v>7.0000000000000001E-3</v>
      </c>
      <c r="AB41" s="415">
        <v>7.0000000000000001E-3</v>
      </c>
      <c r="AC41" s="415">
        <v>7.0000000000000001E-3</v>
      </c>
      <c r="AD41" s="415">
        <v>7.0000000000000001E-3</v>
      </c>
    </row>
    <row r="42" spans="1:30" hidden="1" x14ac:dyDescent="0.35">
      <c r="A42" s="1279"/>
      <c r="B42" s="178" t="s">
        <v>291</v>
      </c>
      <c r="C42" s="415">
        <v>7.0000000000000001E-3</v>
      </c>
      <c r="D42" s="415">
        <v>7.0000000000000001E-3</v>
      </c>
      <c r="E42" s="415">
        <v>0</v>
      </c>
      <c r="F42" s="1273" t="s">
        <v>334</v>
      </c>
      <c r="G42" s="1274"/>
      <c r="H42" s="1275"/>
      <c r="I42" s="415">
        <v>0</v>
      </c>
      <c r="J42" s="415">
        <v>0</v>
      </c>
      <c r="K42" s="415">
        <v>0</v>
      </c>
      <c r="L42" s="1073">
        <v>0</v>
      </c>
      <c r="M42" s="419">
        <v>0</v>
      </c>
      <c r="N42" s="612">
        <v>0</v>
      </c>
      <c r="S42" s="419">
        <v>0</v>
      </c>
      <c r="T42" s="419">
        <v>0</v>
      </c>
      <c r="U42" s="419">
        <v>0</v>
      </c>
      <c r="V42" s="415">
        <v>0</v>
      </c>
      <c r="W42" s="415">
        <v>0</v>
      </c>
      <c r="X42" s="415">
        <v>0</v>
      </c>
      <c r="Y42" s="419">
        <v>0</v>
      </c>
      <c r="Z42" s="419">
        <v>0</v>
      </c>
      <c r="AA42" s="419">
        <v>0</v>
      </c>
      <c r="AB42" s="415">
        <v>0</v>
      </c>
      <c r="AC42" s="415">
        <v>0</v>
      </c>
      <c r="AD42" s="415">
        <v>0</v>
      </c>
    </row>
    <row r="43" spans="1:30" x14ac:dyDescent="0.35">
      <c r="A43" s="1279"/>
      <c r="B43" s="178" t="s">
        <v>515</v>
      </c>
      <c r="C43" s="416">
        <f>+C40+C41+C42</f>
        <v>2.8999999999999998E-2</v>
      </c>
      <c r="D43" s="416">
        <f>+D40+D41+D42</f>
        <v>2.8999999999999998E-2</v>
      </c>
      <c r="E43" s="416">
        <f>+E40+E41+E42</f>
        <v>2.1999999999999999E-2</v>
      </c>
      <c r="I43" s="416">
        <f t="shared" ref="I43:N43" si="20">+I40+I41+I42</f>
        <v>2.1999999999999999E-2</v>
      </c>
      <c r="J43" s="416">
        <f t="shared" si="20"/>
        <v>2.1999999999999999E-2</v>
      </c>
      <c r="K43" s="416">
        <f t="shared" si="20"/>
        <v>2.1999999999999999E-2</v>
      </c>
      <c r="L43" s="1089">
        <f t="shared" si="20"/>
        <v>2.1999999999999999E-2</v>
      </c>
      <c r="M43" s="420">
        <f t="shared" si="20"/>
        <v>2.1999999999999999E-2</v>
      </c>
      <c r="N43" s="613">
        <f t="shared" si="20"/>
        <v>2.1999999999999999E-2</v>
      </c>
      <c r="S43" s="420">
        <f t="shared" ref="S43:AD43" si="21">+S40+S41+S42</f>
        <v>2.1999999999999999E-2</v>
      </c>
      <c r="T43" s="420">
        <f t="shared" si="21"/>
        <v>2.1999999999999999E-2</v>
      </c>
      <c r="U43" s="420">
        <f t="shared" si="21"/>
        <v>2.1999999999999999E-2</v>
      </c>
      <c r="V43" s="416">
        <f t="shared" si="21"/>
        <v>2.1999999999999999E-2</v>
      </c>
      <c r="W43" s="416">
        <f t="shared" si="21"/>
        <v>2.1999999999999999E-2</v>
      </c>
      <c r="X43" s="416">
        <f t="shared" si="21"/>
        <v>2.1999999999999999E-2</v>
      </c>
      <c r="Y43" s="420">
        <f t="shared" si="21"/>
        <v>2.1999999999999999E-2</v>
      </c>
      <c r="Z43" s="420">
        <f t="shared" si="21"/>
        <v>2.1999999999999999E-2</v>
      </c>
      <c r="AA43" s="420">
        <f t="shared" si="21"/>
        <v>2.1999999999999999E-2</v>
      </c>
      <c r="AB43" s="416">
        <f t="shared" si="21"/>
        <v>2.1999999999999999E-2</v>
      </c>
      <c r="AC43" s="416">
        <f t="shared" si="21"/>
        <v>2.1999999999999999E-2</v>
      </c>
      <c r="AD43" s="416">
        <f t="shared" si="21"/>
        <v>2.1999999999999999E-2</v>
      </c>
    </row>
    <row r="44" spans="1:30" x14ac:dyDescent="0.35">
      <c r="A44" s="1279"/>
      <c r="B44" s="178" t="s">
        <v>193</v>
      </c>
      <c r="C44" s="168">
        <f>+C20</f>
        <v>62748</v>
      </c>
      <c r="D44" s="168">
        <f>+D20</f>
        <v>31375</v>
      </c>
      <c r="E44" s="168">
        <f>+E20</f>
        <v>70066</v>
      </c>
      <c r="I44" s="168">
        <f t="shared" ref="I44:N44" si="22">+I20</f>
        <v>72075</v>
      </c>
      <c r="J44" s="168">
        <f t="shared" si="22"/>
        <v>11581.833333333334</v>
      </c>
      <c r="K44" s="168">
        <f t="shared" si="22"/>
        <v>71644</v>
      </c>
      <c r="L44" s="1090">
        <f t="shared" si="22"/>
        <v>69491</v>
      </c>
      <c r="M44" s="137">
        <f t="shared" si="22"/>
        <v>73672</v>
      </c>
      <c r="N44" s="579">
        <f t="shared" si="22"/>
        <v>76620</v>
      </c>
      <c r="S44" s="137">
        <f t="shared" ref="S44:AD44" si="23">+S20</f>
        <v>84567</v>
      </c>
      <c r="T44" s="137">
        <f t="shared" si="23"/>
        <v>81414</v>
      </c>
      <c r="U44" s="137">
        <f t="shared" si="23"/>
        <v>40707</v>
      </c>
      <c r="V44" s="168">
        <f t="shared" si="23"/>
        <v>85333</v>
      </c>
      <c r="W44" s="168">
        <f t="shared" si="23"/>
        <v>82151</v>
      </c>
      <c r="X44" s="168">
        <f t="shared" si="23"/>
        <v>41075.5</v>
      </c>
      <c r="Y44" s="137">
        <f t="shared" si="23"/>
        <v>86100</v>
      </c>
      <c r="Z44" s="137">
        <f t="shared" si="23"/>
        <v>82887</v>
      </c>
      <c r="AA44" s="137">
        <f t="shared" si="23"/>
        <v>41443.5</v>
      </c>
      <c r="AB44" s="168">
        <f t="shared" si="23"/>
        <v>86866</v>
      </c>
      <c r="AC44" s="168">
        <f t="shared" si="23"/>
        <v>83625</v>
      </c>
      <c r="AD44" s="168">
        <f t="shared" si="23"/>
        <v>41812</v>
      </c>
    </row>
    <row r="45" spans="1:30" x14ac:dyDescent="0.35">
      <c r="A45" s="1280"/>
      <c r="B45" s="154" t="s">
        <v>197</v>
      </c>
      <c r="C45" s="197">
        <f>ROUND(+C44*C43,0)</f>
        <v>1820</v>
      </c>
      <c r="D45" s="197">
        <f>ROUND(+D44*D43,0)</f>
        <v>910</v>
      </c>
      <c r="E45" s="562">
        <f>ROUND(+E44*E43,0)</f>
        <v>1541</v>
      </c>
      <c r="I45" s="197">
        <f t="shared" ref="I45:N45" si="24">ROUND(+I44*I43,0)</f>
        <v>1586</v>
      </c>
      <c r="J45" s="197">
        <f t="shared" si="24"/>
        <v>255</v>
      </c>
      <c r="K45" s="197">
        <f t="shared" si="24"/>
        <v>1576</v>
      </c>
      <c r="L45" s="1078">
        <f t="shared" si="24"/>
        <v>1529</v>
      </c>
      <c r="M45" s="144">
        <f t="shared" si="24"/>
        <v>1621</v>
      </c>
      <c r="N45" s="590">
        <f t="shared" si="24"/>
        <v>1686</v>
      </c>
      <c r="S45" s="144">
        <f t="shared" ref="S45:AD45" si="25">ROUND(+S44*S43,0)</f>
        <v>1860</v>
      </c>
      <c r="T45" s="144">
        <f t="shared" si="25"/>
        <v>1791</v>
      </c>
      <c r="U45" s="144">
        <f t="shared" si="25"/>
        <v>896</v>
      </c>
      <c r="V45" s="197">
        <f t="shared" si="25"/>
        <v>1877</v>
      </c>
      <c r="W45" s="197">
        <f t="shared" si="25"/>
        <v>1807</v>
      </c>
      <c r="X45" s="197">
        <f t="shared" si="25"/>
        <v>904</v>
      </c>
      <c r="Y45" s="144">
        <f t="shared" si="25"/>
        <v>1894</v>
      </c>
      <c r="Z45" s="144">
        <f t="shared" si="25"/>
        <v>1824</v>
      </c>
      <c r="AA45" s="144">
        <f t="shared" si="25"/>
        <v>912</v>
      </c>
      <c r="AB45" s="197">
        <f t="shared" si="25"/>
        <v>1911</v>
      </c>
      <c r="AC45" s="197">
        <f t="shared" si="25"/>
        <v>1840</v>
      </c>
      <c r="AD45" s="197">
        <f t="shared" si="25"/>
        <v>920</v>
      </c>
    </row>
    <row r="46" spans="1:30" ht="7.5" customHeight="1" x14ac:dyDescent="0.35">
      <c r="D46" s="198"/>
      <c r="I46" s="198"/>
      <c r="J46" s="198"/>
      <c r="K46" s="198"/>
      <c r="L46" s="198"/>
      <c r="V46" s="198"/>
      <c r="W46" s="198"/>
      <c r="X46" s="198"/>
      <c r="AB46" s="198"/>
      <c r="AC46" s="198"/>
      <c r="AD46" s="198"/>
    </row>
    <row r="47" spans="1:30" x14ac:dyDescent="0.35">
      <c r="A47" s="1278" t="s">
        <v>103</v>
      </c>
      <c r="B47" s="146" t="s">
        <v>202</v>
      </c>
      <c r="C47" s="566">
        <v>1200</v>
      </c>
      <c r="D47" s="777">
        <f>ROUND(C47*D$9,0)</f>
        <v>600</v>
      </c>
      <c r="E47" s="566">
        <v>1200</v>
      </c>
      <c r="I47" s="566">
        <v>1200</v>
      </c>
      <c r="J47" s="777">
        <f>+I47/12*2</f>
        <v>200</v>
      </c>
      <c r="K47" s="777">
        <f>ROUND((I47/12*10)+J47,0)</f>
        <v>1200</v>
      </c>
      <c r="L47" s="1091">
        <v>1200</v>
      </c>
      <c r="M47" s="779">
        <v>1200</v>
      </c>
      <c r="N47" s="838">
        <v>1200</v>
      </c>
      <c r="S47" s="779">
        <v>1200</v>
      </c>
      <c r="T47" s="779">
        <v>1200</v>
      </c>
      <c r="U47" s="779">
        <v>600</v>
      </c>
      <c r="V47" s="566">
        <v>1200</v>
      </c>
      <c r="W47" s="566">
        <v>1200</v>
      </c>
      <c r="X47" s="566">
        <v>600</v>
      </c>
      <c r="Y47" s="779">
        <v>1200</v>
      </c>
      <c r="Z47" s="779">
        <v>1200</v>
      </c>
      <c r="AA47" s="779">
        <v>600</v>
      </c>
      <c r="AB47" s="566">
        <v>1200</v>
      </c>
      <c r="AC47" s="566">
        <v>1200</v>
      </c>
      <c r="AD47" s="566">
        <v>600</v>
      </c>
    </row>
    <row r="48" spans="1:30" x14ac:dyDescent="0.35">
      <c r="A48" s="1279"/>
      <c r="B48" s="148" t="s">
        <v>448</v>
      </c>
      <c r="C48" s="409">
        <v>750</v>
      </c>
      <c r="D48" s="438">
        <f>ROUND(C48*D$9,0)</f>
        <v>375</v>
      </c>
      <c r="E48" s="409">
        <v>1300</v>
      </c>
      <c r="I48" s="409">
        <v>1300</v>
      </c>
      <c r="J48" s="438">
        <f>+I48/12*2</f>
        <v>216.66666666666666</v>
      </c>
      <c r="K48" s="438">
        <f>ROUND((I48/12*10)+J48,0)</f>
        <v>1300</v>
      </c>
      <c r="L48" s="1092">
        <v>1300</v>
      </c>
      <c r="M48" s="217">
        <v>1300</v>
      </c>
      <c r="N48" s="614">
        <v>1300</v>
      </c>
      <c r="S48" s="217">
        <v>1300</v>
      </c>
      <c r="T48" s="217">
        <v>1300</v>
      </c>
      <c r="U48" s="217">
        <f>+S48/2</f>
        <v>650</v>
      </c>
      <c r="V48" s="409">
        <v>1300</v>
      </c>
      <c r="W48" s="409">
        <v>1300</v>
      </c>
      <c r="X48" s="409">
        <f>+V48/2</f>
        <v>650</v>
      </c>
      <c r="Y48" s="217">
        <v>1300</v>
      </c>
      <c r="Z48" s="217">
        <v>1300</v>
      </c>
      <c r="AA48" s="217">
        <f>+Y48/2</f>
        <v>650</v>
      </c>
      <c r="AB48" s="409">
        <v>1300</v>
      </c>
      <c r="AC48" s="409">
        <v>1300</v>
      </c>
      <c r="AD48" s="409">
        <f>+AB48/2</f>
        <v>650</v>
      </c>
    </row>
    <row r="49" spans="1:30" x14ac:dyDescent="0.35">
      <c r="A49" s="1279"/>
      <c r="B49" s="148" t="s">
        <v>455</v>
      </c>
      <c r="C49" s="409"/>
      <c r="D49" s="438"/>
      <c r="E49" s="409"/>
      <c r="I49" s="409"/>
      <c r="J49" s="438"/>
      <c r="K49" s="409"/>
      <c r="L49" s="1092"/>
      <c r="M49" s="217"/>
      <c r="N49" s="614"/>
      <c r="S49" s="217"/>
      <c r="T49" s="217"/>
      <c r="U49" s="217"/>
      <c r="V49" s="409"/>
      <c r="W49" s="409"/>
      <c r="X49" s="409"/>
      <c r="Y49" s="217"/>
      <c r="Z49" s="217"/>
      <c r="AA49" s="217"/>
      <c r="AB49" s="409"/>
      <c r="AC49" s="409"/>
      <c r="AD49" s="409"/>
    </row>
    <row r="50" spans="1:30" x14ac:dyDescent="0.35">
      <c r="A50" s="1279"/>
      <c r="B50" s="148" t="s">
        <v>535</v>
      </c>
      <c r="C50" s="409"/>
      <c r="D50" s="438"/>
      <c r="E50" s="409"/>
      <c r="I50" s="409"/>
      <c r="J50" s="438"/>
      <c r="K50" s="409"/>
      <c r="L50" s="1092"/>
      <c r="M50" s="217"/>
      <c r="N50" s="614"/>
      <c r="S50" s="217"/>
      <c r="T50" s="217"/>
      <c r="U50" s="217"/>
      <c r="V50" s="409"/>
      <c r="W50" s="409"/>
      <c r="X50" s="409"/>
      <c r="Y50" s="217"/>
      <c r="Z50" s="217"/>
      <c r="AA50" s="217"/>
      <c r="AB50" s="409"/>
      <c r="AC50" s="409"/>
      <c r="AD50" s="409"/>
    </row>
    <row r="51" spans="1:30" x14ac:dyDescent="0.35">
      <c r="A51" s="1279"/>
      <c r="B51" s="148" t="s">
        <v>103</v>
      </c>
      <c r="C51" s="409">
        <v>600</v>
      </c>
      <c r="D51" s="438">
        <f>ROUND(C51*D$9,0)</f>
        <v>300</v>
      </c>
      <c r="E51" s="409">
        <v>600</v>
      </c>
      <c r="I51" s="409">
        <v>600</v>
      </c>
      <c r="J51" s="438">
        <f>+I51/12*2</f>
        <v>100</v>
      </c>
      <c r="K51" s="438">
        <f>ROUND((I51/12*10)+J51,0)</f>
        <v>600</v>
      </c>
      <c r="L51" s="1092">
        <v>600</v>
      </c>
      <c r="M51" s="217">
        <v>600</v>
      </c>
      <c r="N51" s="614">
        <v>600</v>
      </c>
      <c r="S51" s="217">
        <v>600</v>
      </c>
      <c r="T51" s="217">
        <v>600</v>
      </c>
      <c r="U51" s="217">
        <v>300</v>
      </c>
      <c r="V51" s="409">
        <v>600</v>
      </c>
      <c r="W51" s="409">
        <v>600</v>
      </c>
      <c r="X51" s="409">
        <v>300</v>
      </c>
      <c r="Y51" s="217">
        <v>600</v>
      </c>
      <c r="Z51" s="217">
        <v>600</v>
      </c>
      <c r="AA51" s="217">
        <v>300</v>
      </c>
      <c r="AB51" s="409">
        <v>600</v>
      </c>
      <c r="AC51" s="409">
        <v>600</v>
      </c>
      <c r="AD51" s="409">
        <v>300</v>
      </c>
    </row>
    <row r="52" spans="1:30" x14ac:dyDescent="0.35">
      <c r="A52" s="1279"/>
      <c r="B52" s="178" t="s">
        <v>215</v>
      </c>
      <c r="C52" s="409">
        <v>480</v>
      </c>
      <c r="D52" s="438">
        <f>ROUND(C52*D$9,0)</f>
        <v>240</v>
      </c>
      <c r="E52" s="409">
        <v>480</v>
      </c>
      <c r="F52" s="300"/>
      <c r="G52" s="300"/>
      <c r="H52" s="300"/>
      <c r="I52" s="409">
        <v>480</v>
      </c>
      <c r="J52" s="438">
        <f>+I52/12*2</f>
        <v>80</v>
      </c>
      <c r="K52" s="438">
        <f>ROUND((I52/12*10)+J52,0)</f>
        <v>480</v>
      </c>
      <c r="L52" s="1092">
        <v>480</v>
      </c>
      <c r="M52" s="217">
        <v>480</v>
      </c>
      <c r="N52" s="614">
        <v>480</v>
      </c>
      <c r="S52" s="217">
        <v>480</v>
      </c>
      <c r="T52" s="217">
        <v>480</v>
      </c>
      <c r="U52" s="217">
        <f>+S52/2</f>
        <v>240</v>
      </c>
      <c r="V52" s="409">
        <v>480</v>
      </c>
      <c r="W52" s="409">
        <v>480</v>
      </c>
      <c r="X52" s="409">
        <f>+V52/2</f>
        <v>240</v>
      </c>
      <c r="Y52" s="217">
        <v>480</v>
      </c>
      <c r="Z52" s="217">
        <v>480</v>
      </c>
      <c r="AA52" s="217">
        <f>+Y52/2</f>
        <v>240</v>
      </c>
      <c r="AB52" s="409">
        <v>480</v>
      </c>
      <c r="AC52" s="409">
        <v>480</v>
      </c>
      <c r="AD52" s="409">
        <f>+AB52/2</f>
        <v>240</v>
      </c>
    </row>
    <row r="53" spans="1:30" hidden="1" x14ac:dyDescent="0.35">
      <c r="A53" s="1279"/>
      <c r="B53" s="178" t="s">
        <v>284</v>
      </c>
      <c r="C53" s="409">
        <v>300</v>
      </c>
      <c r="D53" s="409">
        <v>300</v>
      </c>
      <c r="E53" s="409"/>
      <c r="F53" s="300"/>
      <c r="G53" s="300"/>
      <c r="H53" s="300"/>
      <c r="I53" s="409"/>
      <c r="J53" s="409"/>
      <c r="K53" s="409"/>
      <c r="L53" s="1092"/>
      <c r="M53" s="217"/>
      <c r="N53" s="614"/>
      <c r="S53" s="217"/>
      <c r="T53" s="217"/>
      <c r="U53" s="217"/>
      <c r="V53" s="409"/>
      <c r="W53" s="409"/>
      <c r="X53" s="409"/>
      <c r="Y53" s="217"/>
      <c r="Z53" s="217"/>
      <c r="AA53" s="217"/>
      <c r="AB53" s="409"/>
      <c r="AC53" s="409"/>
      <c r="AD53" s="409"/>
    </row>
    <row r="54" spans="1:30" x14ac:dyDescent="0.35">
      <c r="A54" s="1280"/>
      <c r="B54" s="159" t="s">
        <v>204</v>
      </c>
      <c r="C54" s="410">
        <f>+SUM(C47:C53)</f>
        <v>3330</v>
      </c>
      <c r="D54" s="410">
        <f>+SUM(D47:D53)</f>
        <v>1815</v>
      </c>
      <c r="E54" s="563">
        <f>+SUM(E47:E52)</f>
        <v>3580</v>
      </c>
      <c r="H54" s="141"/>
      <c r="I54" s="410">
        <f t="shared" ref="I54:N54" si="26">+SUM(I47:I52)</f>
        <v>3580</v>
      </c>
      <c r="J54" s="410">
        <f t="shared" si="26"/>
        <v>596.66666666666663</v>
      </c>
      <c r="K54" s="410">
        <f t="shared" si="26"/>
        <v>3580</v>
      </c>
      <c r="L54" s="1087">
        <f t="shared" si="26"/>
        <v>3580</v>
      </c>
      <c r="M54" s="218">
        <f t="shared" si="26"/>
        <v>3580</v>
      </c>
      <c r="N54" s="616">
        <f t="shared" si="26"/>
        <v>3580</v>
      </c>
      <c r="S54" s="218">
        <f t="shared" ref="S54:AD54" si="27">+SUM(S47:S52)</f>
        <v>3580</v>
      </c>
      <c r="T54" s="218">
        <f t="shared" si="27"/>
        <v>3580</v>
      </c>
      <c r="U54" s="218">
        <f t="shared" si="27"/>
        <v>1790</v>
      </c>
      <c r="V54" s="410">
        <f t="shared" si="27"/>
        <v>3580</v>
      </c>
      <c r="W54" s="410">
        <f t="shared" si="27"/>
        <v>3580</v>
      </c>
      <c r="X54" s="410">
        <f t="shared" si="27"/>
        <v>1790</v>
      </c>
      <c r="Y54" s="218">
        <f t="shared" si="27"/>
        <v>3580</v>
      </c>
      <c r="Z54" s="218">
        <f t="shared" si="27"/>
        <v>3580</v>
      </c>
      <c r="AA54" s="218">
        <f t="shared" si="27"/>
        <v>1790</v>
      </c>
      <c r="AB54" s="410">
        <f t="shared" si="27"/>
        <v>3580</v>
      </c>
      <c r="AC54" s="410">
        <f t="shared" si="27"/>
        <v>3580</v>
      </c>
      <c r="AD54" s="410">
        <f t="shared" si="27"/>
        <v>1790</v>
      </c>
    </row>
    <row r="55" spans="1:30" ht="8" customHeight="1" x14ac:dyDescent="0.35">
      <c r="D55" s="198"/>
      <c r="L55" s="198"/>
      <c r="V55" s="198"/>
      <c r="W55" s="198"/>
      <c r="X55" s="198"/>
      <c r="AB55" s="198"/>
      <c r="AC55" s="198"/>
      <c r="AD55" s="198"/>
    </row>
    <row r="56" spans="1:30" x14ac:dyDescent="0.35">
      <c r="B56" s="162" t="s">
        <v>295</v>
      </c>
      <c r="C56" s="411">
        <f>+C20+C22+C38+C45+C54</f>
        <v>96198</v>
      </c>
      <c r="D56" s="411">
        <f>+D20+D22+D38+D45+D54</f>
        <v>48251</v>
      </c>
      <c r="E56" s="163">
        <f>+E20+E38+E45+E54+E25</f>
        <v>86398</v>
      </c>
      <c r="F56" s="141"/>
      <c r="G56" s="634"/>
      <c r="H56" s="441"/>
      <c r="I56" s="163">
        <f t="shared" ref="I56:N56" si="28">+I20+I38+I45+I54+I25</f>
        <v>88773</v>
      </c>
      <c r="J56" s="163">
        <f t="shared" si="28"/>
        <v>16931.5</v>
      </c>
      <c r="K56" s="163">
        <f t="shared" si="28"/>
        <v>90805</v>
      </c>
      <c r="L56" s="1093">
        <f t="shared" si="28"/>
        <v>101589</v>
      </c>
      <c r="M56" s="163">
        <f t="shared" si="28"/>
        <v>106280</v>
      </c>
      <c r="N56" s="617">
        <f t="shared" si="28"/>
        <v>109588</v>
      </c>
      <c r="S56" s="163">
        <f t="shared" ref="S56:AD56" si="29">+S20+S38+S45+S54</f>
        <v>103115</v>
      </c>
      <c r="T56" s="163">
        <f t="shared" si="29"/>
        <v>99404</v>
      </c>
      <c r="U56" s="163">
        <f t="shared" si="29"/>
        <v>49703</v>
      </c>
      <c r="V56" s="411">
        <f t="shared" si="29"/>
        <v>103590</v>
      </c>
      <c r="W56" s="411">
        <f t="shared" si="29"/>
        <v>100271</v>
      </c>
      <c r="X56" s="411">
        <f t="shared" si="29"/>
        <v>50136.5</v>
      </c>
      <c r="Y56" s="163">
        <f t="shared" si="29"/>
        <v>104489</v>
      </c>
      <c r="Z56" s="163">
        <f t="shared" si="29"/>
        <v>101138</v>
      </c>
      <c r="AA56" s="163">
        <f t="shared" si="29"/>
        <v>50569.5</v>
      </c>
      <c r="AB56" s="411">
        <f t="shared" si="29"/>
        <v>105387</v>
      </c>
      <c r="AC56" s="411">
        <f t="shared" si="29"/>
        <v>102007</v>
      </c>
      <c r="AD56" s="411">
        <f t="shared" si="29"/>
        <v>51003</v>
      </c>
    </row>
    <row r="57" spans="1:30" ht="14.5" customHeight="1" x14ac:dyDescent="0.35">
      <c r="B57" s="221" t="s">
        <v>278</v>
      </c>
      <c r="C57" s="209"/>
      <c r="D57" s="209"/>
      <c r="E57" s="209"/>
      <c r="I57" s="209">
        <f>+I56-E56</f>
        <v>2375</v>
      </c>
      <c r="J57" s="209"/>
      <c r="K57" s="209">
        <f>+K56-I56</f>
        <v>2032</v>
      </c>
      <c r="L57" s="209"/>
      <c r="M57" s="209">
        <f>+M56-K56</f>
        <v>15475</v>
      </c>
      <c r="N57" s="209">
        <f>+N56-E56</f>
        <v>23190</v>
      </c>
      <c r="S57" s="209">
        <f>+S56-$I56</f>
        <v>14342</v>
      </c>
      <c r="T57" s="209">
        <f>+T56-$I56</f>
        <v>10631</v>
      </c>
      <c r="U57" s="209"/>
      <c r="V57" s="209">
        <f>+V56-$I56</f>
        <v>14817</v>
      </c>
      <c r="W57" s="209">
        <f>+W56-$I56</f>
        <v>11498</v>
      </c>
      <c r="X57" s="209"/>
      <c r="Y57" s="209">
        <f>+Y56-$I56</f>
        <v>15716</v>
      </c>
      <c r="Z57" s="209">
        <f>+Z56-$I56</f>
        <v>12365</v>
      </c>
      <c r="AA57" s="209"/>
      <c r="AB57" s="209">
        <f>+AB56-$I56</f>
        <v>16614</v>
      </c>
      <c r="AC57" s="209">
        <f>+AC56-$I56</f>
        <v>13234</v>
      </c>
      <c r="AD57" s="209"/>
    </row>
    <row r="58" spans="1:30" x14ac:dyDescent="0.35">
      <c r="I58" s="839">
        <f>(+I56-E56)/E56</f>
        <v>2.7489062246811267E-2</v>
      </c>
      <c r="J58" s="839"/>
      <c r="K58" s="839">
        <f>(+K56-I56)/I56</f>
        <v>2.2889842632331903E-2</v>
      </c>
      <c r="L58" s="1066"/>
      <c r="M58" s="839">
        <f>(+M56-K56)/K56</f>
        <v>0.1704201310500523</v>
      </c>
      <c r="N58" s="839">
        <f>(+N56-E56)/E56</f>
        <v>0.26840899094886456</v>
      </c>
      <c r="S58" s="839">
        <f>(+S56-$I56)/$I56</f>
        <v>0.16155813141383077</v>
      </c>
      <c r="T58" s="839">
        <f>(+T56-$I56)/$I56</f>
        <v>0.11975488042535455</v>
      </c>
      <c r="U58" s="839"/>
      <c r="V58" s="839">
        <f>(+V56-$I56)/$I56</f>
        <v>0.16690885742286507</v>
      </c>
      <c r="W58" s="839">
        <f>(+W56-$I56)/$I56</f>
        <v>0.12952136347763396</v>
      </c>
      <c r="X58" s="839"/>
      <c r="Y58" s="839">
        <f>(+Y56-$I56)/$I56</f>
        <v>0.17703581043785835</v>
      </c>
      <c r="Z58" s="839">
        <f>(+Z56-$I56)/$I56</f>
        <v>0.13928784652991338</v>
      </c>
      <c r="AA58" s="839"/>
      <c r="AB58" s="839">
        <f>(+AB56-$I56)/$I56</f>
        <v>0.18715149876651685</v>
      </c>
      <c r="AC58" s="839">
        <f>(+AC56-$I56)/$I56</f>
        <v>0.14907685895486239</v>
      </c>
      <c r="AD58" s="839"/>
    </row>
    <row r="59" spans="1:30" ht="18.5" x14ac:dyDescent="0.35">
      <c r="A59" s="830" t="s">
        <v>536</v>
      </c>
      <c r="C59" s="134"/>
      <c r="L59" s="198"/>
    </row>
    <row r="60" spans="1:30" ht="32" customHeight="1" thickBot="1" x14ac:dyDescent="0.4">
      <c r="A60" s="831"/>
      <c r="B60" s="831"/>
      <c r="C60" s="134"/>
      <c r="I60" s="831"/>
      <c r="J60" s="300"/>
      <c r="K60" s="149"/>
      <c r="L60" s="179"/>
      <c r="M60" s="300"/>
      <c r="S60" s="300"/>
      <c r="T60" s="300"/>
      <c r="U60" s="300"/>
      <c r="V60" s="300"/>
      <c r="W60" s="300"/>
      <c r="X60" s="300"/>
      <c r="Y60" s="300"/>
      <c r="Z60" s="300"/>
      <c r="AA60" s="300"/>
      <c r="AB60" s="300"/>
      <c r="AC60" s="300"/>
      <c r="AD60" s="300"/>
    </row>
    <row r="61" spans="1:30" x14ac:dyDescent="0.35">
      <c r="A61" s="829" t="s">
        <v>541</v>
      </c>
      <c r="C61" s="134"/>
      <c r="I61" s="832" t="s">
        <v>537</v>
      </c>
      <c r="J61" s="832"/>
      <c r="K61" s="832"/>
      <c r="L61" s="1067"/>
      <c r="M61" s="832"/>
      <c r="S61" s="896"/>
      <c r="T61" s="896"/>
      <c r="U61" s="896"/>
      <c r="V61" s="896"/>
      <c r="W61" s="896"/>
      <c r="X61" s="896"/>
      <c r="Y61" s="896"/>
      <c r="Z61" s="896"/>
      <c r="AA61" s="896"/>
      <c r="AB61" s="896"/>
      <c r="AC61" s="896"/>
      <c r="AD61" s="896"/>
    </row>
    <row r="62" spans="1:30" x14ac:dyDescent="0.35">
      <c r="C62" s="134"/>
      <c r="L62" s="198"/>
      <c r="S62" s="300"/>
      <c r="T62" s="300"/>
      <c r="U62" s="300"/>
      <c r="V62" s="300"/>
      <c r="W62" s="300"/>
      <c r="X62" s="300"/>
      <c r="Y62" s="300"/>
      <c r="Z62" s="300"/>
      <c r="AA62" s="300"/>
      <c r="AB62" s="300"/>
      <c r="AC62" s="300"/>
      <c r="AD62" s="300"/>
    </row>
    <row r="63" spans="1:30" ht="32" customHeight="1" thickBot="1" x14ac:dyDescent="0.4">
      <c r="A63" s="831"/>
      <c r="B63" s="831"/>
      <c r="C63" s="134"/>
      <c r="I63" s="831"/>
      <c r="J63" s="300"/>
      <c r="K63" s="149"/>
      <c r="L63" s="179"/>
      <c r="M63" s="300"/>
      <c r="S63" s="300"/>
      <c r="T63" s="300"/>
      <c r="U63" s="300"/>
      <c r="V63" s="300"/>
      <c r="W63" s="300"/>
      <c r="X63" s="300"/>
      <c r="Y63" s="300"/>
      <c r="Z63" s="300"/>
      <c r="AA63" s="300"/>
      <c r="AB63" s="300"/>
      <c r="AC63" s="300"/>
      <c r="AD63" s="300"/>
    </row>
    <row r="64" spans="1:30" x14ac:dyDescent="0.35">
      <c r="A64" s="829" t="s">
        <v>539</v>
      </c>
      <c r="C64" s="134"/>
      <c r="I64" s="832" t="s">
        <v>537</v>
      </c>
      <c r="J64" s="832"/>
      <c r="K64" s="832"/>
      <c r="L64" s="1067"/>
      <c r="M64" s="832"/>
      <c r="S64" s="896"/>
      <c r="T64" s="896"/>
      <c r="U64" s="896"/>
      <c r="V64" s="896"/>
      <c r="W64" s="896"/>
      <c r="X64" s="896"/>
      <c r="Y64" s="896"/>
      <c r="Z64" s="896"/>
      <c r="AA64" s="896"/>
      <c r="AB64" s="896"/>
      <c r="AC64" s="896"/>
      <c r="AD64" s="896"/>
    </row>
    <row r="65" spans="1:30" x14ac:dyDescent="0.35">
      <c r="C65" s="134"/>
      <c r="L65" s="198"/>
      <c r="S65" s="300"/>
      <c r="T65" s="300"/>
      <c r="U65" s="300"/>
      <c r="V65" s="300"/>
      <c r="W65" s="300"/>
      <c r="X65" s="300"/>
      <c r="Y65" s="300"/>
      <c r="Z65" s="300"/>
      <c r="AA65" s="300"/>
      <c r="AB65" s="300"/>
      <c r="AC65" s="300"/>
      <c r="AD65" s="300"/>
    </row>
    <row r="66" spans="1:30" ht="32" customHeight="1" thickBot="1" x14ac:dyDescent="0.4">
      <c r="A66" s="831"/>
      <c r="B66" s="831"/>
      <c r="C66" s="134"/>
      <c r="I66" s="831"/>
      <c r="J66" s="300"/>
      <c r="K66" s="300"/>
      <c r="L66" s="179"/>
      <c r="M66" s="300"/>
      <c r="S66" s="300"/>
      <c r="T66" s="300"/>
      <c r="U66" s="300"/>
      <c r="V66" s="300"/>
      <c r="W66" s="300"/>
      <c r="X66" s="300"/>
      <c r="Y66" s="300"/>
      <c r="Z66" s="300"/>
      <c r="AA66" s="300"/>
      <c r="AB66" s="300"/>
      <c r="AC66" s="300"/>
      <c r="AD66" s="300"/>
    </row>
    <row r="67" spans="1:30" x14ac:dyDescent="0.35">
      <c r="A67" s="829" t="s">
        <v>540</v>
      </c>
      <c r="C67" s="134"/>
      <c r="I67" s="832" t="s">
        <v>537</v>
      </c>
      <c r="J67" s="832"/>
      <c r="K67" s="832"/>
      <c r="L67" s="1067"/>
      <c r="M67" s="832"/>
      <c r="S67" s="896"/>
      <c r="T67" s="896"/>
      <c r="U67" s="896"/>
      <c r="V67" s="896"/>
      <c r="W67" s="896"/>
      <c r="X67" s="896"/>
      <c r="Y67" s="896"/>
      <c r="Z67" s="896"/>
      <c r="AA67" s="896"/>
      <c r="AB67" s="896"/>
      <c r="AC67" s="896"/>
      <c r="AD67" s="896"/>
    </row>
    <row r="68" spans="1:30" x14ac:dyDescent="0.35">
      <c r="L68" s="198"/>
      <c r="S68" s="300"/>
      <c r="T68" s="300"/>
      <c r="U68" s="300"/>
      <c r="V68" s="300"/>
      <c r="W68" s="300"/>
      <c r="X68" s="300"/>
      <c r="Y68" s="300"/>
      <c r="Z68" s="300"/>
      <c r="AA68" s="300"/>
      <c r="AB68" s="300"/>
      <c r="AC68" s="300"/>
      <c r="AD68" s="300"/>
    </row>
    <row r="69" spans="1:30" x14ac:dyDescent="0.35">
      <c r="L69" s="198"/>
      <c r="S69" s="300"/>
      <c r="T69" s="300"/>
      <c r="U69" s="300"/>
      <c r="V69" s="300"/>
      <c r="W69" s="300"/>
      <c r="X69" s="300"/>
      <c r="Y69" s="300"/>
      <c r="Z69" s="300"/>
      <c r="AA69" s="300"/>
      <c r="AB69" s="300"/>
      <c r="AC69" s="300"/>
      <c r="AD69" s="300"/>
    </row>
    <row r="70" spans="1:30" x14ac:dyDescent="0.35">
      <c r="L70" s="198"/>
      <c r="S70" s="300"/>
      <c r="T70" s="300"/>
      <c r="U70" s="300"/>
      <c r="V70" s="300"/>
      <c r="W70" s="300"/>
      <c r="X70" s="300"/>
      <c r="Y70" s="300"/>
      <c r="Z70" s="300"/>
      <c r="AA70" s="300"/>
      <c r="AB70" s="300"/>
      <c r="AC70" s="300"/>
      <c r="AD70" s="300"/>
    </row>
    <row r="71" spans="1:30" x14ac:dyDescent="0.35">
      <c r="S71" s="300"/>
      <c r="T71" s="300"/>
      <c r="U71" s="300"/>
      <c r="V71" s="300"/>
      <c r="W71" s="300"/>
      <c r="X71" s="300"/>
      <c r="Y71" s="300"/>
      <c r="Z71" s="300"/>
      <c r="AA71" s="300"/>
      <c r="AB71" s="300"/>
      <c r="AC71" s="300"/>
      <c r="AD71" s="300"/>
    </row>
    <row r="72" spans="1:30" x14ac:dyDescent="0.35">
      <c r="S72" s="300"/>
      <c r="T72" s="300"/>
      <c r="U72" s="300"/>
      <c r="V72" s="300"/>
      <c r="W72" s="300"/>
      <c r="X72" s="300"/>
      <c r="Y72" s="300"/>
      <c r="Z72" s="300"/>
      <c r="AA72" s="300"/>
      <c r="AB72" s="300"/>
      <c r="AC72" s="300"/>
      <c r="AD72" s="300"/>
    </row>
    <row r="73" spans="1:30" x14ac:dyDescent="0.35">
      <c r="S73" s="300"/>
      <c r="T73" s="300"/>
      <c r="U73" s="300"/>
      <c r="V73" s="300"/>
      <c r="W73" s="300"/>
      <c r="X73" s="300"/>
      <c r="Y73" s="300"/>
      <c r="Z73" s="300"/>
      <c r="AA73" s="300"/>
      <c r="AB73" s="300"/>
      <c r="AC73" s="300"/>
      <c r="AD73" s="300"/>
    </row>
    <row r="74" spans="1:30" x14ac:dyDescent="0.35">
      <c r="S74" s="300"/>
      <c r="T74" s="300"/>
      <c r="U74" s="300"/>
      <c r="V74" s="300"/>
      <c r="W74" s="300"/>
      <c r="X74" s="300"/>
      <c r="Y74" s="300"/>
      <c r="Z74" s="300"/>
      <c r="AA74" s="300"/>
      <c r="AB74" s="300"/>
      <c r="AC74" s="300"/>
      <c r="AD74" s="300"/>
    </row>
    <row r="75" spans="1:30" x14ac:dyDescent="0.35">
      <c r="S75" s="300"/>
      <c r="T75" s="300"/>
      <c r="U75" s="300"/>
      <c r="V75" s="300"/>
      <c r="W75" s="300"/>
      <c r="X75" s="300"/>
      <c r="Y75" s="300"/>
      <c r="Z75" s="300"/>
      <c r="AA75" s="300"/>
      <c r="AB75" s="300"/>
      <c r="AC75" s="300"/>
      <c r="AD75" s="300"/>
    </row>
    <row r="76" spans="1:30" x14ac:dyDescent="0.35">
      <c r="S76" s="300"/>
      <c r="T76" s="300"/>
      <c r="U76" s="300"/>
      <c r="V76" s="300"/>
      <c r="W76" s="300"/>
      <c r="X76" s="300"/>
      <c r="Y76" s="300"/>
      <c r="Z76" s="300"/>
      <c r="AA76" s="300"/>
      <c r="AB76" s="300"/>
      <c r="AC76" s="300"/>
      <c r="AD76" s="300"/>
    </row>
    <row r="77" spans="1:30" x14ac:dyDescent="0.35">
      <c r="S77" s="300"/>
      <c r="T77" s="300"/>
      <c r="U77" s="300"/>
      <c r="V77" s="300"/>
      <c r="W77" s="300"/>
      <c r="X77" s="300"/>
      <c r="Y77" s="300"/>
      <c r="Z77" s="300"/>
      <c r="AA77" s="300"/>
      <c r="AB77" s="300"/>
      <c r="AC77" s="300"/>
      <c r="AD77" s="300"/>
    </row>
    <row r="78" spans="1:30" x14ac:dyDescent="0.35">
      <c r="S78" s="300"/>
      <c r="T78" s="300"/>
      <c r="U78" s="300"/>
      <c r="V78" s="300"/>
      <c r="W78" s="300"/>
      <c r="X78" s="300"/>
      <c r="Y78" s="300"/>
      <c r="Z78" s="300"/>
      <c r="AA78" s="300"/>
      <c r="AB78" s="300"/>
      <c r="AC78" s="300"/>
      <c r="AD78" s="300"/>
    </row>
    <row r="79" spans="1:30" x14ac:dyDescent="0.35">
      <c r="S79" s="300"/>
      <c r="T79" s="300"/>
      <c r="U79" s="300"/>
      <c r="V79" s="300"/>
      <c r="W79" s="300"/>
      <c r="X79" s="300"/>
      <c r="Y79" s="300"/>
      <c r="Z79" s="300"/>
      <c r="AA79" s="300"/>
      <c r="AB79" s="300"/>
      <c r="AC79" s="300"/>
      <c r="AD79" s="300"/>
    </row>
    <row r="80" spans="1:30" x14ac:dyDescent="0.35">
      <c r="S80" s="300"/>
      <c r="T80" s="300"/>
      <c r="U80" s="300"/>
      <c r="V80" s="300"/>
      <c r="W80" s="300"/>
      <c r="X80" s="300"/>
      <c r="Y80" s="300"/>
      <c r="Z80" s="300"/>
      <c r="AA80" s="300"/>
      <c r="AB80" s="300"/>
      <c r="AC80" s="300"/>
      <c r="AD80" s="300"/>
    </row>
    <row r="81" spans="19:30" x14ac:dyDescent="0.35">
      <c r="S81" s="300"/>
      <c r="T81" s="300"/>
      <c r="U81" s="300"/>
      <c r="V81" s="300"/>
      <c r="W81" s="300"/>
      <c r="X81" s="300"/>
      <c r="Y81" s="300"/>
      <c r="Z81" s="300"/>
      <c r="AA81" s="300"/>
      <c r="AB81" s="300"/>
      <c r="AC81" s="300"/>
      <c r="AD81" s="300"/>
    </row>
    <row r="82" spans="19:30" x14ac:dyDescent="0.35">
      <c r="S82" s="300"/>
      <c r="T82" s="300"/>
      <c r="U82" s="300"/>
      <c r="V82" s="300"/>
      <c r="W82" s="300"/>
      <c r="X82" s="300"/>
      <c r="Y82" s="300"/>
      <c r="Z82" s="300"/>
      <c r="AA82" s="300"/>
      <c r="AB82" s="300"/>
      <c r="AC82" s="300"/>
      <c r="AD82" s="300"/>
    </row>
    <row r="83" spans="19:30" x14ac:dyDescent="0.35">
      <c r="S83" s="300"/>
      <c r="T83" s="300"/>
      <c r="U83" s="300"/>
      <c r="V83" s="300"/>
      <c r="W83" s="300"/>
      <c r="X83" s="300"/>
      <c r="Y83" s="300"/>
      <c r="Z83" s="300"/>
      <c r="AA83" s="300"/>
      <c r="AB83" s="300"/>
      <c r="AC83" s="300"/>
      <c r="AD83" s="300"/>
    </row>
    <row r="84" spans="19:30" x14ac:dyDescent="0.35">
      <c r="S84" s="300"/>
      <c r="T84" s="300"/>
      <c r="U84" s="300"/>
      <c r="V84" s="300"/>
      <c r="W84" s="300"/>
      <c r="X84" s="300"/>
      <c r="Y84" s="300"/>
      <c r="Z84" s="300"/>
      <c r="AA84" s="300"/>
      <c r="AB84" s="300"/>
      <c r="AC84" s="300"/>
      <c r="AD84" s="300"/>
    </row>
    <row r="85" spans="19:30" x14ac:dyDescent="0.35">
      <c r="S85" s="300"/>
      <c r="T85" s="300"/>
      <c r="U85" s="300"/>
      <c r="V85" s="300"/>
      <c r="W85" s="300"/>
      <c r="X85" s="300"/>
      <c r="Y85" s="300"/>
      <c r="Z85" s="300"/>
      <c r="AA85" s="300"/>
      <c r="AB85" s="300"/>
      <c r="AC85" s="300"/>
      <c r="AD85" s="300"/>
    </row>
  </sheetData>
  <mergeCells count="23">
    <mergeCell ref="A1:Q1"/>
    <mergeCell ref="O3:Q3"/>
    <mergeCell ref="F5:H12"/>
    <mergeCell ref="A5:A20"/>
    <mergeCell ref="B13:B15"/>
    <mergeCell ref="O16:Q20"/>
    <mergeCell ref="O4:Q7"/>
    <mergeCell ref="I3:I4"/>
    <mergeCell ref="J3:J4"/>
    <mergeCell ref="K3:K4"/>
    <mergeCell ref="M3:M4"/>
    <mergeCell ref="N3:N4"/>
    <mergeCell ref="A47:A54"/>
    <mergeCell ref="F18:H18"/>
    <mergeCell ref="A31:A38"/>
    <mergeCell ref="A40:A45"/>
    <mergeCell ref="A24:A29"/>
    <mergeCell ref="S2:U2"/>
    <mergeCell ref="V2:X2"/>
    <mergeCell ref="Y2:AA2"/>
    <mergeCell ref="AB2:AD2"/>
    <mergeCell ref="F42:H42"/>
    <mergeCell ref="L3:L4"/>
  </mergeCells>
  <pageMargins left="0" right="0" top="0.25" bottom="0" header="0.3" footer="0.3"/>
  <pageSetup scale="34" orientation="portrait" horizontalDpi="4294967293" verticalDpi="0" r:id="rId1"/>
  <headerFooter>
    <oddFooter>&amp;R&amp;D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K4" sqref="K4"/>
    </sheetView>
  </sheetViews>
  <sheetFormatPr defaultRowHeight="14.5" x14ac:dyDescent="0.35"/>
  <cols>
    <col min="1" max="1" width="10" style="134" customWidth="1"/>
    <col min="2" max="2" width="38.453125" style="134" customWidth="1"/>
    <col min="3" max="3" width="13.90625" style="198" hidden="1" customWidth="1"/>
    <col min="4" max="5" width="13.90625" style="134" hidden="1" customWidth="1"/>
    <col min="6" max="6" width="8.7265625" style="134" hidden="1" customWidth="1"/>
    <col min="7" max="7" width="9.81640625" style="134" hidden="1" customWidth="1"/>
    <col min="8" max="8" width="11.90625" style="134" hidden="1" customWidth="1"/>
    <col min="9" max="11" width="13.90625" style="134" customWidth="1"/>
    <col min="12" max="16384" width="8.7265625" style="134"/>
  </cols>
  <sheetData>
    <row r="1" spans="1:11" ht="21" x14ac:dyDescent="0.35">
      <c r="A1" s="1218" t="s">
        <v>336</v>
      </c>
      <c r="B1" s="1218"/>
      <c r="C1" s="1218"/>
      <c r="D1" s="1218"/>
      <c r="E1" s="1218"/>
      <c r="F1" s="1218"/>
      <c r="G1" s="1218"/>
      <c r="H1" s="1218"/>
      <c r="I1" s="1218"/>
      <c r="J1" s="1218"/>
      <c r="K1" s="1218"/>
    </row>
    <row r="2" spans="1:11" s="803" customFormat="1" ht="10" customHeight="1" x14ac:dyDescent="0.35">
      <c r="B2" s="804"/>
      <c r="C2" s="805"/>
      <c r="D2" s="805"/>
      <c r="E2" s="806"/>
      <c r="I2" s="805"/>
      <c r="J2" s="805"/>
      <c r="K2" s="805"/>
    </row>
    <row r="3" spans="1:11" ht="37.5" customHeight="1" x14ac:dyDescent="0.35">
      <c r="C3" s="432" t="s">
        <v>330</v>
      </c>
      <c r="D3" s="406" t="s">
        <v>277</v>
      </c>
      <c r="E3" s="622" t="s">
        <v>446</v>
      </c>
      <c r="G3" s="782"/>
      <c r="H3" s="783"/>
      <c r="I3" s="406" t="s">
        <v>445</v>
      </c>
      <c r="J3" s="432" t="s">
        <v>691</v>
      </c>
      <c r="K3" s="432" t="s">
        <v>692</v>
      </c>
    </row>
    <row r="4" spans="1:11" ht="14.5" customHeight="1" x14ac:dyDescent="0.35">
      <c r="A4" s="1278" t="s">
        <v>333</v>
      </c>
      <c r="B4" s="439" t="s">
        <v>38</v>
      </c>
      <c r="C4" s="433">
        <v>40802</v>
      </c>
      <c r="D4" s="433">
        <v>40802</v>
      </c>
      <c r="E4" s="168">
        <v>42687</v>
      </c>
      <c r="F4" s="1286" t="s">
        <v>447</v>
      </c>
      <c r="G4" s="1287"/>
      <c r="H4" s="1288"/>
      <c r="I4" s="433">
        <v>44553</v>
      </c>
      <c r="J4" s="433">
        <v>7425.5</v>
      </c>
      <c r="K4" s="433">
        <v>44553</v>
      </c>
    </row>
    <row r="5" spans="1:11" ht="15" thickBot="1" x14ac:dyDescent="0.4">
      <c r="A5" s="1279"/>
      <c r="B5" s="166" t="s">
        <v>161</v>
      </c>
      <c r="C5" s="173">
        <v>17487</v>
      </c>
      <c r="D5" s="173">
        <v>17487</v>
      </c>
      <c r="E5" s="436">
        <v>20000</v>
      </c>
      <c r="F5" s="1286"/>
      <c r="G5" s="1287"/>
      <c r="H5" s="1288"/>
      <c r="I5" s="436">
        <v>20000</v>
      </c>
      <c r="J5" s="894">
        <v>3333.3333333333335</v>
      </c>
      <c r="K5" s="436">
        <v>20000</v>
      </c>
    </row>
    <row r="6" spans="1:11" ht="14.5" customHeight="1" x14ac:dyDescent="0.35">
      <c r="A6" s="1279"/>
      <c r="B6" s="166" t="s">
        <v>162</v>
      </c>
      <c r="C6" s="434">
        <v>58289</v>
      </c>
      <c r="D6" s="434">
        <v>58289</v>
      </c>
      <c r="E6" s="177">
        <v>62687</v>
      </c>
      <c r="F6" s="1286"/>
      <c r="G6" s="1287"/>
      <c r="H6" s="1288"/>
      <c r="I6" s="1027">
        <v>64553</v>
      </c>
      <c r="J6" s="1027">
        <v>10758.833333333334</v>
      </c>
      <c r="K6" s="1027">
        <v>64553</v>
      </c>
    </row>
    <row r="7" spans="1:11" ht="7.5" customHeight="1" x14ac:dyDescent="0.35">
      <c r="A7" s="1279"/>
      <c r="B7" s="1269" t="s">
        <v>694</v>
      </c>
      <c r="C7" s="171"/>
      <c r="D7" s="171"/>
      <c r="E7" s="171"/>
      <c r="I7" s="171"/>
      <c r="J7" s="171"/>
      <c r="K7" s="171"/>
    </row>
    <row r="8" spans="1:11" ht="26.5" customHeight="1" x14ac:dyDescent="0.35">
      <c r="A8" s="1279"/>
      <c r="B8" s="1269"/>
      <c r="C8" s="190">
        <v>0</v>
      </c>
      <c r="D8" s="190">
        <v>0</v>
      </c>
      <c r="E8" s="190">
        <v>2400</v>
      </c>
      <c r="I8" s="190">
        <v>2400</v>
      </c>
      <c r="J8" s="412">
        <v>0</v>
      </c>
      <c r="K8" s="190">
        <v>2000</v>
      </c>
    </row>
    <row r="9" spans="1:11" ht="8" customHeight="1" x14ac:dyDescent="0.35">
      <c r="A9" s="1279"/>
      <c r="B9" s="1269"/>
      <c r="C9" s="171"/>
      <c r="D9" s="171"/>
      <c r="E9" s="171"/>
      <c r="I9" s="171"/>
      <c r="J9" s="171"/>
      <c r="K9" s="171"/>
    </row>
    <row r="10" spans="1:11" ht="14.5" customHeight="1" x14ac:dyDescent="0.35">
      <c r="A10" s="1279"/>
      <c r="B10" s="185" t="s">
        <v>183</v>
      </c>
      <c r="C10" s="407">
        <v>58289</v>
      </c>
      <c r="D10" s="407">
        <v>29145</v>
      </c>
      <c r="E10" s="560">
        <v>65087</v>
      </c>
      <c r="I10" s="407">
        <v>66953</v>
      </c>
      <c r="J10" s="407">
        <v>10758.833333333334</v>
      </c>
      <c r="K10" s="407">
        <v>66553</v>
      </c>
    </row>
    <row r="11" spans="1:11" x14ac:dyDescent="0.35">
      <c r="A11" s="1279"/>
      <c r="B11" s="178" t="s">
        <v>287</v>
      </c>
      <c r="C11" s="190">
        <v>4459</v>
      </c>
      <c r="D11" s="190">
        <v>2230</v>
      </c>
      <c r="E11" s="190">
        <v>4979</v>
      </c>
      <c r="F11" s="141"/>
      <c r="I11" s="190">
        <v>5122</v>
      </c>
      <c r="J11" s="190">
        <v>823</v>
      </c>
      <c r="K11" s="190">
        <v>5091</v>
      </c>
    </row>
    <row r="12" spans="1:11" ht="21" customHeight="1" x14ac:dyDescent="0.35">
      <c r="A12" s="1280"/>
      <c r="B12" s="193" t="s">
        <v>185</v>
      </c>
      <c r="C12" s="197">
        <v>62748</v>
      </c>
      <c r="D12" s="197">
        <v>31375</v>
      </c>
      <c r="E12" s="197">
        <v>70066</v>
      </c>
      <c r="I12" s="197">
        <v>72075</v>
      </c>
      <c r="J12" s="197">
        <v>11581.833333333334</v>
      </c>
      <c r="K12" s="197">
        <v>71644</v>
      </c>
    </row>
    <row r="13" spans="1:11" ht="8.5" customHeight="1" x14ac:dyDescent="0.35">
      <c r="B13" s="198"/>
      <c r="D13" s="198"/>
      <c r="E13" s="198"/>
      <c r="I13" s="198"/>
      <c r="J13" s="198"/>
      <c r="K13" s="198"/>
    </row>
    <row r="14" spans="1:11" ht="9.5" customHeight="1" x14ac:dyDescent="0.35">
      <c r="A14" s="1278" t="s">
        <v>289</v>
      </c>
      <c r="B14" s="164"/>
      <c r="C14" s="564"/>
      <c r="D14" s="564"/>
      <c r="E14" s="565"/>
      <c r="I14" s="565"/>
      <c r="J14" s="565"/>
      <c r="K14" s="564"/>
    </row>
    <row r="15" spans="1:11" ht="14.5" customHeight="1" x14ac:dyDescent="0.35">
      <c r="A15" s="1279"/>
      <c r="B15" s="186" t="s">
        <v>693</v>
      </c>
      <c r="C15" s="171"/>
      <c r="D15" s="180"/>
      <c r="E15" s="449">
        <v>0</v>
      </c>
      <c r="F15" s="829"/>
      <c r="G15" s="829"/>
      <c r="H15" s="829"/>
      <c r="I15" s="449">
        <v>0</v>
      </c>
      <c r="J15" s="449">
        <v>3340</v>
      </c>
      <c r="K15" s="413">
        <v>3340</v>
      </c>
    </row>
    <row r="16" spans="1:11" ht="9.5" customHeight="1" x14ac:dyDescent="0.35">
      <c r="A16" s="1280"/>
      <c r="B16" s="193"/>
      <c r="C16" s="561"/>
      <c r="D16" s="776"/>
      <c r="E16" s="197"/>
      <c r="I16" s="197"/>
      <c r="J16" s="197"/>
      <c r="K16" s="197"/>
    </row>
    <row r="17" spans="1:11" ht="7" customHeight="1" x14ac:dyDescent="0.35">
      <c r="B17" s="198"/>
      <c r="D17" s="198"/>
      <c r="E17" s="198"/>
      <c r="I17" s="198"/>
      <c r="J17" s="198"/>
      <c r="K17" s="198"/>
    </row>
    <row r="18" spans="1:11" ht="7" customHeight="1" x14ac:dyDescent="0.35">
      <c r="A18" s="1278" t="s">
        <v>165</v>
      </c>
      <c r="B18" s="199"/>
      <c r="C18" s="437">
        <v>0.1</v>
      </c>
      <c r="D18" s="437">
        <v>0.1</v>
      </c>
      <c r="E18" s="414">
        <v>0.1</v>
      </c>
      <c r="I18" s="414"/>
      <c r="J18" s="414"/>
      <c r="K18" s="414"/>
    </row>
    <row r="19" spans="1:11" x14ac:dyDescent="0.35">
      <c r="A19" s="1279"/>
      <c r="B19" s="178" t="s">
        <v>300</v>
      </c>
      <c r="C19" s="168"/>
      <c r="D19" s="168"/>
      <c r="E19" s="621">
        <v>0.16</v>
      </c>
      <c r="I19" s="621">
        <v>0.16</v>
      </c>
      <c r="J19" s="621">
        <v>0.1</v>
      </c>
      <c r="K19" s="621"/>
    </row>
    <row r="20" spans="1:11" x14ac:dyDescent="0.35">
      <c r="A20" s="1280"/>
      <c r="B20" s="193" t="s">
        <v>192</v>
      </c>
      <c r="C20" s="197">
        <v>6275</v>
      </c>
      <c r="D20" s="197">
        <v>3138</v>
      </c>
      <c r="E20" s="410">
        <v>11211</v>
      </c>
      <c r="I20" s="410">
        <v>11532</v>
      </c>
      <c r="J20" s="410">
        <v>1158</v>
      </c>
      <c r="K20" s="410">
        <v>10665</v>
      </c>
    </row>
    <row r="21" spans="1:11" ht="7" customHeight="1" x14ac:dyDescent="0.35">
      <c r="B21" s="198"/>
      <c r="D21" s="198"/>
      <c r="E21" s="198"/>
      <c r="I21" s="198"/>
      <c r="J21" s="198"/>
      <c r="K21" s="198"/>
    </row>
    <row r="22" spans="1:11" x14ac:dyDescent="0.35">
      <c r="A22" s="1278" t="s">
        <v>166</v>
      </c>
      <c r="B22" s="164" t="s">
        <v>513</v>
      </c>
      <c r="C22" s="437">
        <v>1.4999999999999999E-2</v>
      </c>
      <c r="D22" s="437">
        <v>1.4999999999999999E-2</v>
      </c>
      <c r="E22" s="437">
        <v>1.4999999999999999E-2</v>
      </c>
      <c r="I22" s="437">
        <v>1.4999999999999999E-2</v>
      </c>
      <c r="J22" s="437">
        <v>1.4999999999999999E-2</v>
      </c>
      <c r="K22" s="437">
        <v>1.4999999999999999E-2</v>
      </c>
    </row>
    <row r="23" spans="1:11" x14ac:dyDescent="0.35">
      <c r="A23" s="1279"/>
      <c r="B23" s="178" t="s">
        <v>514</v>
      </c>
      <c r="C23" s="415">
        <v>7.0000000000000001E-3</v>
      </c>
      <c r="D23" s="415">
        <v>7.0000000000000001E-3</v>
      </c>
      <c r="E23" s="415">
        <v>7.0000000000000001E-3</v>
      </c>
      <c r="I23" s="415">
        <v>7.0000000000000001E-3</v>
      </c>
      <c r="J23" s="415">
        <v>7.0000000000000001E-3</v>
      </c>
      <c r="K23" s="415">
        <v>7.0000000000000001E-3</v>
      </c>
    </row>
    <row r="24" spans="1:11" hidden="1" x14ac:dyDescent="0.35">
      <c r="A24" s="1279"/>
      <c r="B24" s="178" t="s">
        <v>291</v>
      </c>
      <c r="C24" s="415">
        <v>7.0000000000000001E-3</v>
      </c>
      <c r="D24" s="415">
        <v>7.0000000000000001E-3</v>
      </c>
      <c r="E24" s="415">
        <v>0</v>
      </c>
      <c r="F24" s="1273" t="s">
        <v>334</v>
      </c>
      <c r="G24" s="1274"/>
      <c r="H24" s="1275"/>
      <c r="I24" s="415">
        <v>0</v>
      </c>
      <c r="J24" s="415">
        <v>0</v>
      </c>
      <c r="K24" s="415">
        <v>0</v>
      </c>
    </row>
    <row r="25" spans="1:11" x14ac:dyDescent="0.35">
      <c r="A25" s="1279"/>
      <c r="B25" s="178" t="s">
        <v>515</v>
      </c>
      <c r="C25" s="416">
        <v>2.8999999999999998E-2</v>
      </c>
      <c r="D25" s="416">
        <v>2.8999999999999998E-2</v>
      </c>
      <c r="E25" s="416">
        <v>2.1999999999999999E-2</v>
      </c>
      <c r="I25" s="416">
        <v>2.1999999999999999E-2</v>
      </c>
      <c r="J25" s="416">
        <v>2.1999999999999999E-2</v>
      </c>
      <c r="K25" s="416">
        <v>2.1999999999999999E-2</v>
      </c>
    </row>
    <row r="26" spans="1:11" x14ac:dyDescent="0.35">
      <c r="A26" s="1279"/>
      <c r="B26" s="178" t="s">
        <v>193</v>
      </c>
      <c r="C26" s="168">
        <v>62748</v>
      </c>
      <c r="D26" s="168">
        <v>31375</v>
      </c>
      <c r="E26" s="168">
        <v>70066</v>
      </c>
      <c r="I26" s="168">
        <v>72075</v>
      </c>
      <c r="J26" s="168">
        <v>11581.833333333334</v>
      </c>
      <c r="K26" s="168">
        <v>71644</v>
      </c>
    </row>
    <row r="27" spans="1:11" x14ac:dyDescent="0.35">
      <c r="A27" s="1280"/>
      <c r="B27" s="154" t="s">
        <v>197</v>
      </c>
      <c r="C27" s="197">
        <v>1820</v>
      </c>
      <c r="D27" s="197">
        <v>910</v>
      </c>
      <c r="E27" s="562">
        <v>1541</v>
      </c>
      <c r="I27" s="197">
        <v>1586</v>
      </c>
      <c r="J27" s="197">
        <v>255</v>
      </c>
      <c r="K27" s="197">
        <v>1576</v>
      </c>
    </row>
    <row r="28" spans="1:11" ht="7.5" customHeight="1" x14ac:dyDescent="0.35">
      <c r="D28" s="198"/>
      <c r="I28" s="198"/>
      <c r="J28" s="198"/>
      <c r="K28" s="198"/>
    </row>
    <row r="29" spans="1:11" x14ac:dyDescent="0.35">
      <c r="A29" s="1278" t="s">
        <v>103</v>
      </c>
      <c r="B29" s="146" t="s">
        <v>202</v>
      </c>
      <c r="C29" s="566">
        <v>1200</v>
      </c>
      <c r="D29" s="777">
        <v>600</v>
      </c>
      <c r="E29" s="566">
        <v>1200</v>
      </c>
      <c r="I29" s="566">
        <v>1200</v>
      </c>
      <c r="J29" s="777">
        <v>200</v>
      </c>
      <c r="K29" s="777">
        <v>1200</v>
      </c>
    </row>
    <row r="30" spans="1:11" x14ac:dyDescent="0.35">
      <c r="A30" s="1279"/>
      <c r="B30" s="148" t="s">
        <v>695</v>
      </c>
      <c r="C30" s="409">
        <v>750</v>
      </c>
      <c r="D30" s="438">
        <v>375</v>
      </c>
      <c r="E30" s="409">
        <v>1300</v>
      </c>
      <c r="I30" s="409">
        <v>1300</v>
      </c>
      <c r="J30" s="438">
        <v>216.66666666666666</v>
      </c>
      <c r="K30" s="438">
        <v>1300</v>
      </c>
    </row>
    <row r="31" spans="1:11" x14ac:dyDescent="0.35">
      <c r="A31" s="1279"/>
      <c r="B31" s="148" t="s">
        <v>103</v>
      </c>
      <c r="C31" s="409">
        <v>600</v>
      </c>
      <c r="D31" s="438">
        <v>300</v>
      </c>
      <c r="E31" s="409">
        <v>600</v>
      </c>
      <c r="I31" s="409">
        <v>600</v>
      </c>
      <c r="J31" s="438">
        <v>100</v>
      </c>
      <c r="K31" s="438">
        <v>600</v>
      </c>
    </row>
    <row r="32" spans="1:11" x14ac:dyDescent="0.35">
      <c r="A32" s="1279"/>
      <c r="B32" s="178" t="s">
        <v>215</v>
      </c>
      <c r="C32" s="409">
        <v>480</v>
      </c>
      <c r="D32" s="438">
        <v>240</v>
      </c>
      <c r="E32" s="409">
        <v>480</v>
      </c>
      <c r="F32" s="300"/>
      <c r="G32" s="300"/>
      <c r="H32" s="300"/>
      <c r="I32" s="409">
        <v>480</v>
      </c>
      <c r="J32" s="438">
        <v>80</v>
      </c>
      <c r="K32" s="438">
        <v>480</v>
      </c>
    </row>
    <row r="33" spans="1:11" hidden="1" x14ac:dyDescent="0.35">
      <c r="A33" s="1279"/>
      <c r="B33" s="178" t="s">
        <v>284</v>
      </c>
      <c r="C33" s="409">
        <v>300</v>
      </c>
      <c r="D33" s="409">
        <v>300</v>
      </c>
      <c r="E33" s="409"/>
      <c r="F33" s="300"/>
      <c r="G33" s="300"/>
      <c r="H33" s="300"/>
      <c r="I33" s="409"/>
      <c r="J33" s="409"/>
      <c r="K33" s="409"/>
    </row>
    <row r="34" spans="1:11" x14ac:dyDescent="0.35">
      <c r="A34" s="1280"/>
      <c r="B34" s="159" t="s">
        <v>204</v>
      </c>
      <c r="C34" s="410">
        <v>3330</v>
      </c>
      <c r="D34" s="410">
        <v>1815</v>
      </c>
      <c r="E34" s="563">
        <v>3580</v>
      </c>
      <c r="H34" s="141"/>
      <c r="I34" s="410">
        <v>3580</v>
      </c>
      <c r="J34" s="410">
        <v>596.66666666666663</v>
      </c>
      <c r="K34" s="410">
        <v>3580</v>
      </c>
    </row>
    <row r="35" spans="1:11" ht="8" customHeight="1" x14ac:dyDescent="0.35">
      <c r="D35" s="198"/>
    </row>
    <row r="36" spans="1:11" x14ac:dyDescent="0.35">
      <c r="B36" s="162" t="s">
        <v>295</v>
      </c>
      <c r="C36" s="411">
        <v>96198</v>
      </c>
      <c r="D36" s="411">
        <v>48251</v>
      </c>
      <c r="E36" s="163">
        <v>86398</v>
      </c>
      <c r="F36" s="141"/>
      <c r="G36" s="634"/>
      <c r="H36" s="441"/>
      <c r="I36" s="163">
        <v>88773</v>
      </c>
      <c r="J36" s="163">
        <v>16931.5</v>
      </c>
      <c r="K36" s="163">
        <v>90805</v>
      </c>
    </row>
  </sheetData>
  <mergeCells count="9">
    <mergeCell ref="A29:A34"/>
    <mergeCell ref="A4:A12"/>
    <mergeCell ref="F4:H6"/>
    <mergeCell ref="B7:B9"/>
    <mergeCell ref="A1:K1"/>
    <mergeCell ref="A14:A16"/>
    <mergeCell ref="A18:A20"/>
    <mergeCell ref="A22:A27"/>
    <mergeCell ref="F24:H24"/>
  </mergeCells>
  <pageMargins left="0" right="0" top="0.25" bottom="0" header="0.3" footer="0.3"/>
  <pageSetup orientation="portrait" horizontalDpi="4294967293" verticalDpi="0" r:id="rId1"/>
  <headerFooter>
    <oddFooter>&amp;R&amp;D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activeCell="N7" sqref="N7"/>
    </sheetView>
  </sheetViews>
  <sheetFormatPr defaultRowHeight="18.5" x14ac:dyDescent="0.45"/>
  <cols>
    <col min="1" max="1" width="14" style="897" customWidth="1"/>
    <col min="2" max="2" width="12.6328125" style="897" customWidth="1"/>
    <col min="3" max="3" width="1" style="898" customWidth="1"/>
    <col min="4" max="7" width="12.6328125" style="897" customWidth="1"/>
    <col min="8" max="8" width="1.6328125" style="897" customWidth="1"/>
    <col min="9" max="9" width="8.7265625" style="897"/>
    <col min="10" max="10" width="8.7265625" style="897" customWidth="1"/>
    <col min="11" max="16384" width="8.7265625" style="897"/>
  </cols>
  <sheetData>
    <row r="1" spans="1:10" ht="23.5" x14ac:dyDescent="0.55000000000000004">
      <c r="A1" s="1311" t="s">
        <v>580</v>
      </c>
      <c r="B1" s="1311"/>
      <c r="C1" s="1311"/>
      <c r="D1" s="1311"/>
      <c r="E1" s="1311"/>
      <c r="F1" s="1311"/>
      <c r="G1" s="1311"/>
      <c r="H1" s="1311"/>
      <c r="I1" s="1311"/>
      <c r="J1" s="1311"/>
    </row>
    <row r="2" spans="1:10" ht="19" thickBot="1" x14ac:dyDescent="0.5"/>
    <row r="3" spans="1:10" ht="19" thickBot="1" x14ac:dyDescent="0.5">
      <c r="B3" s="1315" t="s">
        <v>585</v>
      </c>
      <c r="C3" s="1316"/>
      <c r="D3" s="1316"/>
      <c r="E3" s="1316"/>
      <c r="F3" s="1316"/>
      <c r="G3" s="1317"/>
    </row>
    <row r="4" spans="1:10" ht="21" x14ac:dyDescent="0.45">
      <c r="B4" s="1313" t="s">
        <v>587</v>
      </c>
      <c r="C4" s="913"/>
      <c r="D4" s="1318" t="s">
        <v>586</v>
      </c>
      <c r="E4" s="1319"/>
      <c r="F4" s="1319"/>
      <c r="G4" s="1320"/>
      <c r="I4" s="1312" t="s">
        <v>589</v>
      </c>
      <c r="J4" s="1312"/>
    </row>
    <row r="5" spans="1:10" ht="19" customHeight="1" thickBot="1" x14ac:dyDescent="0.5">
      <c r="A5" s="920"/>
      <c r="B5" s="1314"/>
      <c r="C5" s="913"/>
      <c r="D5" s="906">
        <v>7.0000000000000007E-2</v>
      </c>
      <c r="E5" s="902">
        <v>0.08</v>
      </c>
      <c r="F5" s="902">
        <v>0.09</v>
      </c>
      <c r="G5" s="907">
        <v>0.1</v>
      </c>
      <c r="I5" s="1312"/>
      <c r="J5" s="1312"/>
    </row>
    <row r="6" spans="1:10" x14ac:dyDescent="0.45">
      <c r="A6" s="899" t="s">
        <v>581</v>
      </c>
      <c r="B6" s="904">
        <f>+ROUND('Assoc. Pastor'!I56/2,0)</f>
        <v>44387</v>
      </c>
      <c r="C6" s="914"/>
      <c r="D6" s="908">
        <f>+'Assoc. Pastor'!U56</f>
        <v>49703</v>
      </c>
      <c r="E6" s="901">
        <f>+'Assoc. Pastor'!X56</f>
        <v>50136.5</v>
      </c>
      <c r="F6" s="901">
        <f>+'Assoc. Pastor'!AA56</f>
        <v>50569.5</v>
      </c>
      <c r="G6" s="909">
        <f>+'Assoc. Pastor'!AD56</f>
        <v>51003</v>
      </c>
      <c r="I6" s="1312"/>
      <c r="J6" s="1312"/>
    </row>
    <row r="7" spans="1:10" ht="19" thickBot="1" x14ac:dyDescent="0.5">
      <c r="A7" s="919" t="s">
        <v>582</v>
      </c>
      <c r="B7" s="905"/>
      <c r="C7" s="915"/>
      <c r="D7" s="910">
        <f>+D6-$B6</f>
        <v>5316</v>
      </c>
      <c r="E7" s="911">
        <f>+E6-$B6</f>
        <v>5749.5</v>
      </c>
      <c r="F7" s="911">
        <f>+F6-$B6</f>
        <v>6182.5</v>
      </c>
      <c r="G7" s="912">
        <f>+G6-$B6</f>
        <v>6616</v>
      </c>
      <c r="I7" s="1312"/>
      <c r="J7" s="1312"/>
    </row>
    <row r="8" spans="1:10" ht="19" thickBot="1" x14ac:dyDescent="0.5">
      <c r="I8" s="916"/>
      <c r="J8" s="916"/>
    </row>
    <row r="9" spans="1:10" ht="19" thickBot="1" x14ac:dyDescent="0.5">
      <c r="B9" s="1315" t="s">
        <v>82</v>
      </c>
      <c r="C9" s="1316"/>
      <c r="D9" s="1316"/>
      <c r="E9" s="1316"/>
      <c r="F9" s="1316"/>
      <c r="G9" s="1317"/>
    </row>
    <row r="10" spans="1:10" ht="21" x14ac:dyDescent="0.45">
      <c r="B10" s="1313" t="s">
        <v>587</v>
      </c>
      <c r="C10" s="913"/>
      <c r="D10" s="1318" t="s">
        <v>586</v>
      </c>
      <c r="E10" s="1319"/>
      <c r="F10" s="1319"/>
      <c r="G10" s="1320"/>
      <c r="I10" s="1312" t="s">
        <v>588</v>
      </c>
      <c r="J10" s="1312"/>
    </row>
    <row r="11" spans="1:10" ht="19" customHeight="1" thickBot="1" x14ac:dyDescent="0.5">
      <c r="A11" s="920"/>
      <c r="B11" s="1314"/>
      <c r="C11" s="913"/>
      <c r="D11" s="906">
        <v>7.0000000000000007E-2</v>
      </c>
      <c r="E11" s="902">
        <v>0.08</v>
      </c>
      <c r="F11" s="902">
        <v>0.09</v>
      </c>
      <c r="G11" s="907">
        <v>0.1</v>
      </c>
      <c r="I11" s="1312"/>
      <c r="J11" s="1312"/>
    </row>
    <row r="12" spans="1:10" x14ac:dyDescent="0.45">
      <c r="A12" s="899" t="s">
        <v>581</v>
      </c>
      <c r="B12" s="904">
        <f>+'Assoc. Pastor'!I56</f>
        <v>88773</v>
      </c>
      <c r="C12" s="914"/>
      <c r="D12" s="908">
        <f>+'Assoc. Pastor'!T56</f>
        <v>99404</v>
      </c>
      <c r="E12" s="901">
        <f>+'Assoc. Pastor'!W56</f>
        <v>100271</v>
      </c>
      <c r="F12" s="901">
        <f>+'Assoc. Pastor'!Z56</f>
        <v>101138</v>
      </c>
      <c r="G12" s="909">
        <f>+'Assoc. Pastor'!AC56</f>
        <v>102007</v>
      </c>
      <c r="I12" s="1312"/>
      <c r="J12" s="1312"/>
    </row>
    <row r="13" spans="1:10" ht="19" thickBot="1" x14ac:dyDescent="0.5">
      <c r="A13" s="919" t="s">
        <v>582</v>
      </c>
      <c r="B13" s="905"/>
      <c r="C13" s="915"/>
      <c r="D13" s="910">
        <f>+D12-$B12</f>
        <v>10631</v>
      </c>
      <c r="E13" s="911">
        <f>+E12-$B12</f>
        <v>11498</v>
      </c>
      <c r="F13" s="911">
        <f>+F12-$B12</f>
        <v>12365</v>
      </c>
      <c r="G13" s="912">
        <f>+G12-$B12</f>
        <v>13234</v>
      </c>
      <c r="I13" s="1312"/>
      <c r="J13" s="1312"/>
    </row>
    <row r="14" spans="1:10" x14ac:dyDescent="0.45">
      <c r="I14" s="916"/>
      <c r="J14" s="916"/>
    </row>
    <row r="15" spans="1:10" ht="39.5" customHeight="1" x14ac:dyDescent="0.45">
      <c r="A15" s="1309" t="s">
        <v>583</v>
      </c>
      <c r="B15" s="1309"/>
      <c r="C15" s="1309"/>
      <c r="D15" s="1309"/>
      <c r="E15" s="1309"/>
      <c r="F15" s="1309"/>
      <c r="G15" s="1309"/>
      <c r="H15" s="1309"/>
      <c r="I15" s="1309"/>
      <c r="J15" s="1309"/>
    </row>
    <row r="16" spans="1:10" ht="10.5" customHeight="1" x14ac:dyDescent="0.45">
      <c r="A16" s="900"/>
      <c r="B16" s="900"/>
      <c r="C16" s="903"/>
      <c r="D16" s="900"/>
      <c r="E16" s="900"/>
      <c r="F16" s="900"/>
      <c r="G16" s="900"/>
    </row>
    <row r="17" spans="1:10" ht="39" customHeight="1" x14ac:dyDescent="0.45">
      <c r="A17" s="1310" t="s">
        <v>584</v>
      </c>
      <c r="B17" s="1310"/>
      <c r="C17" s="1310"/>
      <c r="D17" s="1310"/>
      <c r="E17" s="1310"/>
      <c r="F17" s="1310"/>
      <c r="G17" s="1310"/>
      <c r="H17" s="1310"/>
      <c r="I17" s="1310"/>
      <c r="J17" s="1310"/>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topLeftCell="A7" workbookViewId="0">
      <selection activeCell="E16" sqref="E16"/>
    </sheetView>
  </sheetViews>
  <sheetFormatPr defaultRowHeight="14.5" x14ac:dyDescent="0.35"/>
  <cols>
    <col min="1" max="1" width="14.26953125" customWidth="1"/>
    <col min="2" max="2" width="10.36328125" customWidth="1"/>
    <col min="3" max="3" width="10.08984375" bestFit="1" customWidth="1"/>
    <col min="4" max="4" width="2.7265625" customWidth="1"/>
    <col min="6" max="6" width="10.26953125" customWidth="1"/>
    <col min="7" max="7" width="3.81640625" customWidth="1"/>
    <col min="10" max="10" width="9.81640625" customWidth="1"/>
    <col min="11" max="11" width="3.7265625" customWidth="1"/>
    <col min="12" max="12" width="7.26953125" bestFit="1" customWidth="1"/>
  </cols>
  <sheetData>
    <row r="2" spans="1:13" ht="29" customHeight="1" x14ac:dyDescent="0.35">
      <c r="H2" s="1326" t="s">
        <v>630</v>
      </c>
      <c r="I2" s="1327"/>
      <c r="J2" s="1328"/>
    </row>
    <row r="3" spans="1:13" ht="30" x14ac:dyDescent="0.45">
      <c r="A3" s="970" t="s">
        <v>622</v>
      </c>
      <c r="B3" s="987" t="s">
        <v>445</v>
      </c>
      <c r="C3" s="988" t="s">
        <v>356</v>
      </c>
      <c r="D3" s="989"/>
      <c r="E3" s="1324" t="s">
        <v>628</v>
      </c>
      <c r="F3" s="1325"/>
      <c r="H3" s="973" t="s">
        <v>632</v>
      </c>
      <c r="I3" s="972" t="s">
        <v>633</v>
      </c>
      <c r="J3" s="971" t="s">
        <v>634</v>
      </c>
    </row>
    <row r="4" spans="1:13" x14ac:dyDescent="0.35">
      <c r="A4" s="990" t="s">
        <v>623</v>
      </c>
      <c r="B4" s="975">
        <v>13.33</v>
      </c>
      <c r="C4" s="975">
        <v>11.22</v>
      </c>
      <c r="D4" s="966"/>
      <c r="E4" s="975">
        <v>15</v>
      </c>
      <c r="F4" s="991">
        <v>16</v>
      </c>
      <c r="H4" s="974">
        <v>11.86</v>
      </c>
      <c r="I4" s="975">
        <v>11</v>
      </c>
      <c r="J4" s="967"/>
    </row>
    <row r="5" spans="1:13" x14ac:dyDescent="0.35">
      <c r="A5" s="992" t="s">
        <v>624</v>
      </c>
      <c r="B5" s="977">
        <v>20</v>
      </c>
      <c r="C5" s="977">
        <v>7.5</v>
      </c>
      <c r="D5" s="694"/>
      <c r="E5" s="977">
        <v>20</v>
      </c>
      <c r="F5" s="993">
        <v>20</v>
      </c>
      <c r="H5" s="976">
        <v>20</v>
      </c>
      <c r="I5" s="977">
        <v>15</v>
      </c>
      <c r="J5" s="978"/>
    </row>
    <row r="6" spans="1:13" x14ac:dyDescent="0.35">
      <c r="A6" s="994" t="s">
        <v>162</v>
      </c>
      <c r="B6" s="980">
        <f>+B4*B5*52</f>
        <v>13863.2</v>
      </c>
      <c r="C6" s="980">
        <f>+C4*C5*52</f>
        <v>4375.8</v>
      </c>
      <c r="D6" s="694"/>
      <c r="E6" s="980">
        <f>+E4*E5*52</f>
        <v>15600</v>
      </c>
      <c r="F6" s="995">
        <f>+F4*F5*52</f>
        <v>16640</v>
      </c>
      <c r="H6" s="979">
        <f>+H4*H5*52</f>
        <v>12334.4</v>
      </c>
      <c r="I6" s="980">
        <f>+I4*I5*52</f>
        <v>8580</v>
      </c>
      <c r="J6" s="978"/>
      <c r="K6" s="969"/>
    </row>
    <row r="7" spans="1:13" x14ac:dyDescent="0.35">
      <c r="A7" s="981"/>
      <c r="B7" s="694"/>
      <c r="C7" s="694"/>
      <c r="D7" s="694"/>
      <c r="E7" s="694"/>
      <c r="F7" s="978"/>
      <c r="H7" s="981"/>
      <c r="I7" s="694"/>
      <c r="J7" s="978"/>
    </row>
    <row r="8" spans="1:13" x14ac:dyDescent="0.35">
      <c r="A8" s="981" t="s">
        <v>625</v>
      </c>
      <c r="B8" s="694"/>
      <c r="C8" s="694"/>
      <c r="D8" s="996"/>
      <c r="E8" s="983"/>
      <c r="F8" s="997"/>
      <c r="H8" s="981"/>
      <c r="I8" s="694"/>
      <c r="J8" s="978"/>
      <c r="L8" s="1329" t="s">
        <v>639</v>
      </c>
      <c r="M8" s="1325"/>
    </row>
    <row r="9" spans="1:13" x14ac:dyDescent="0.35">
      <c r="A9" s="981" t="s">
        <v>626</v>
      </c>
      <c r="B9" s="983">
        <f>+B6*0.0765</f>
        <v>1060.5348000000001</v>
      </c>
      <c r="C9" s="983">
        <f>+C6*0.0765</f>
        <v>334.74869999999999</v>
      </c>
      <c r="D9" s="996"/>
      <c r="E9" s="983">
        <f>+E6*0.0765</f>
        <v>1193.4000000000001</v>
      </c>
      <c r="F9" s="997">
        <f>+F6*0.0765</f>
        <v>1272.96</v>
      </c>
      <c r="H9" s="982">
        <f>+H6*0.0765</f>
        <v>943.58159999999998</v>
      </c>
      <c r="I9" s="983">
        <f>+I6*0.0765</f>
        <v>656.37</v>
      </c>
      <c r="J9" s="978"/>
      <c r="L9" s="1321" t="s">
        <v>635</v>
      </c>
      <c r="M9" s="1322"/>
    </row>
    <row r="10" spans="1:13" x14ac:dyDescent="0.35">
      <c r="A10" s="981" t="s">
        <v>627</v>
      </c>
      <c r="B10" s="694"/>
      <c r="C10" s="694"/>
      <c r="D10" s="694"/>
      <c r="E10" s="694"/>
      <c r="F10" s="978"/>
      <c r="H10" s="981"/>
      <c r="I10" s="694"/>
      <c r="J10" s="978"/>
      <c r="L10" s="1006" t="s">
        <v>636</v>
      </c>
      <c r="M10" s="1007" t="s">
        <v>637</v>
      </c>
    </row>
    <row r="11" spans="1:13" x14ac:dyDescent="0.35">
      <c r="A11" s="998" t="s">
        <v>629</v>
      </c>
      <c r="B11" s="985">
        <f>+B6+B9</f>
        <v>14923.7348</v>
      </c>
      <c r="C11" s="985">
        <f>+C6+C9</f>
        <v>4710.5487000000003</v>
      </c>
      <c r="D11" s="999"/>
      <c r="E11" s="985">
        <f>+E6+E9</f>
        <v>16793.400000000001</v>
      </c>
      <c r="F11" s="986">
        <f>+F6+F9</f>
        <v>17912.96</v>
      </c>
      <c r="H11" s="984">
        <f>+H6+H9</f>
        <v>13277.981599999999</v>
      </c>
      <c r="I11" s="985">
        <f>+I6+I9</f>
        <v>9236.3700000000008</v>
      </c>
      <c r="J11" s="1004">
        <f>+H11+I11</f>
        <v>22514.351600000002</v>
      </c>
      <c r="K11" s="969"/>
      <c r="L11" s="1008">
        <v>8555.2900000000009</v>
      </c>
      <c r="M11" s="1009">
        <v>14490.85</v>
      </c>
    </row>
    <row r="12" spans="1:13" x14ac:dyDescent="0.35">
      <c r="C12" s="1000"/>
      <c r="D12" s="1001" t="s">
        <v>631</v>
      </c>
      <c r="E12" s="1002">
        <f>+E11-B11</f>
        <v>1869.6652000000013</v>
      </c>
      <c r="F12" s="1003">
        <f>+F11-B11</f>
        <v>2989.2251999999989</v>
      </c>
      <c r="L12" s="1010">
        <f>+M11-L11</f>
        <v>5935.5599999999995</v>
      </c>
      <c r="M12" s="545" t="s">
        <v>638</v>
      </c>
    </row>
    <row r="15" spans="1:13" ht="30" x14ac:dyDescent="0.45">
      <c r="A15" s="970" t="s">
        <v>216</v>
      </c>
      <c r="B15" s="987" t="s">
        <v>445</v>
      </c>
      <c r="C15" s="988" t="s">
        <v>356</v>
      </c>
      <c r="D15" s="989"/>
      <c r="E15" s="1324" t="s">
        <v>628</v>
      </c>
      <c r="F15" s="1325"/>
    </row>
    <row r="16" spans="1:13" x14ac:dyDescent="0.35">
      <c r="A16" s="990" t="s">
        <v>623</v>
      </c>
      <c r="B16" s="975">
        <v>19.93</v>
      </c>
      <c r="C16" s="975">
        <v>17.690000000000001</v>
      </c>
      <c r="D16" s="966"/>
      <c r="E16" s="975">
        <v>20.5</v>
      </c>
      <c r="F16" s="991">
        <v>21</v>
      </c>
    </row>
    <row r="17" spans="1:13" x14ac:dyDescent="0.35">
      <c r="A17" s="992" t="s">
        <v>624</v>
      </c>
      <c r="B17" s="977">
        <v>40</v>
      </c>
      <c r="C17" s="977">
        <v>40</v>
      </c>
      <c r="D17" s="694"/>
      <c r="E17" s="977">
        <v>40</v>
      </c>
      <c r="F17" s="993">
        <v>40</v>
      </c>
    </row>
    <row r="18" spans="1:13" x14ac:dyDescent="0.35">
      <c r="A18" s="994" t="s">
        <v>162</v>
      </c>
      <c r="B18" s="980">
        <f>+B16*B17*52</f>
        <v>41454.400000000001</v>
      </c>
      <c r="C18" s="980">
        <f>+C16*C17*52</f>
        <v>36795.200000000004</v>
      </c>
      <c r="D18" s="694"/>
      <c r="E18" s="980">
        <f>+E16*E17*52</f>
        <v>42640</v>
      </c>
      <c r="F18" s="995">
        <f>+F16*F17*52</f>
        <v>43680</v>
      </c>
    </row>
    <row r="19" spans="1:13" x14ac:dyDescent="0.35">
      <c r="A19" s="981"/>
      <c r="B19" s="694"/>
      <c r="C19" s="694"/>
      <c r="D19" s="694"/>
      <c r="E19" s="694"/>
      <c r="F19" s="978"/>
    </row>
    <row r="20" spans="1:13" ht="14.5" customHeight="1" x14ac:dyDescent="0.35">
      <c r="A20" s="981" t="s">
        <v>625</v>
      </c>
      <c r="B20" s="694"/>
      <c r="C20" s="694"/>
      <c r="D20" s="996"/>
      <c r="E20" s="983"/>
      <c r="F20" s="997"/>
      <c r="I20" s="1323" t="s">
        <v>640</v>
      </c>
      <c r="J20" s="1323"/>
      <c r="K20" s="1288"/>
      <c r="L20" s="1329" t="s">
        <v>216</v>
      </c>
      <c r="M20" s="1325"/>
    </row>
    <row r="21" spans="1:13" x14ac:dyDescent="0.35">
      <c r="A21" s="981" t="s">
        <v>626</v>
      </c>
      <c r="B21" s="983">
        <f>+B18*0.0765</f>
        <v>3171.2616000000003</v>
      </c>
      <c r="C21" s="983">
        <f>+C18*0.0765</f>
        <v>2814.8328000000001</v>
      </c>
      <c r="D21" s="996"/>
      <c r="E21" s="983">
        <f>+E18*0.0765</f>
        <v>3261.96</v>
      </c>
      <c r="F21" s="997">
        <f>+F18*0.0765</f>
        <v>3341.52</v>
      </c>
      <c r="I21" s="1323"/>
      <c r="J21" s="1323"/>
      <c r="K21" s="1288"/>
      <c r="L21" s="1321" t="s">
        <v>635</v>
      </c>
      <c r="M21" s="1322"/>
    </row>
    <row r="22" spans="1:13" x14ac:dyDescent="0.35">
      <c r="A22" s="981" t="s">
        <v>627</v>
      </c>
      <c r="B22" s="694"/>
      <c r="C22" s="694"/>
      <c r="D22" s="694"/>
      <c r="E22" s="694"/>
      <c r="F22" s="978"/>
      <c r="I22" s="1323"/>
      <c r="J22" s="1323"/>
      <c r="K22" s="1288"/>
      <c r="L22" s="1006" t="s">
        <v>636</v>
      </c>
      <c r="M22" s="1007" t="s">
        <v>637</v>
      </c>
    </row>
    <row r="23" spans="1:13" x14ac:dyDescent="0.35">
      <c r="A23" s="998" t="s">
        <v>629</v>
      </c>
      <c r="B23" s="985">
        <f>+B18+B21</f>
        <v>44625.661599999999</v>
      </c>
      <c r="C23" s="985">
        <f>+C18+C21</f>
        <v>39610.032800000001</v>
      </c>
      <c r="D23" s="999"/>
      <c r="E23" s="985">
        <f>+E18+E21</f>
        <v>45901.96</v>
      </c>
      <c r="F23" s="986">
        <f>+F18+F21</f>
        <v>47021.52</v>
      </c>
      <c r="I23" s="1323"/>
      <c r="J23" s="1323"/>
      <c r="K23" s="1288"/>
      <c r="L23" s="1008">
        <v>15623.14</v>
      </c>
      <c r="M23" s="1009">
        <v>17272.5</v>
      </c>
    </row>
    <row r="24" spans="1:13" x14ac:dyDescent="0.35">
      <c r="C24" s="1005"/>
      <c r="D24" s="1001" t="s">
        <v>631</v>
      </c>
      <c r="E24" s="1002">
        <f>+E23-B23</f>
        <v>1276.2983999999997</v>
      </c>
      <c r="F24" s="1003">
        <f>+F23-B23</f>
        <v>2395.8583999999973</v>
      </c>
      <c r="I24" s="1323"/>
      <c r="J24" s="1323"/>
      <c r="K24" s="1288"/>
      <c r="L24" s="1010">
        <f>+M23-L23</f>
        <v>1649.3600000000006</v>
      </c>
      <c r="M24" s="545" t="s">
        <v>638</v>
      </c>
    </row>
  </sheetData>
  <mergeCells count="8">
    <mergeCell ref="L21:M21"/>
    <mergeCell ref="I20:K24"/>
    <mergeCell ref="E3:F3"/>
    <mergeCell ref="E15:F15"/>
    <mergeCell ref="H2:J2"/>
    <mergeCell ref="L9:M9"/>
    <mergeCell ref="L8:M8"/>
    <mergeCell ref="L20:M20"/>
  </mergeCells>
  <pageMargins left="0.7" right="0.7" top="0.75" bottom="0.75" header="0.3" footer="0.3"/>
  <pageSetup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workbookViewId="0">
      <selection activeCell="H43" sqref="H43"/>
    </sheetView>
  </sheetViews>
  <sheetFormatPr defaultRowHeight="15.5" x14ac:dyDescent="0.35"/>
  <cols>
    <col min="1" max="1" width="1.7265625" style="343" customWidth="1"/>
    <col min="2" max="2" width="43.54296875" style="343" customWidth="1"/>
    <col min="3" max="3" width="10.26953125" style="375" customWidth="1"/>
    <col min="4" max="4" width="58.90625" style="343" customWidth="1"/>
    <col min="5" max="5" width="9.7265625" style="343" bestFit="1" customWidth="1"/>
    <col min="6" max="16384" width="8.7265625" style="343"/>
  </cols>
  <sheetData>
    <row r="1" spans="1:5" ht="20" x14ac:dyDescent="0.35">
      <c r="A1" s="1216" t="s">
        <v>83</v>
      </c>
      <c r="B1" s="1216"/>
      <c r="C1" s="1216"/>
      <c r="D1" s="1216"/>
      <c r="E1" s="1216"/>
    </row>
    <row r="2" spans="1:5" ht="18.5" customHeight="1" x14ac:dyDescent="0.35">
      <c r="A2" s="1217" t="s">
        <v>699</v>
      </c>
      <c r="B2" s="1217"/>
      <c r="C2" s="1217"/>
      <c r="D2" s="1217"/>
      <c r="E2" s="1217"/>
    </row>
    <row r="3" spans="1:5" ht="18.5" customHeight="1" thickBot="1" x14ac:dyDescent="0.4">
      <c r="A3" s="547"/>
      <c r="B3" s="547"/>
      <c r="C3" s="547"/>
      <c r="D3" s="547"/>
      <c r="E3" s="547"/>
    </row>
    <row r="4" spans="1:5" ht="30" customHeight="1" thickBot="1" x14ac:dyDescent="0.4">
      <c r="A4" s="547"/>
      <c r="B4" s="1330" t="s">
        <v>329</v>
      </c>
      <c r="C4" s="1331"/>
      <c r="D4" s="1331"/>
      <c r="E4" s="1332"/>
    </row>
    <row r="5" spans="1:5" x14ac:dyDescent="0.35">
      <c r="B5" s="548" t="s">
        <v>394</v>
      </c>
      <c r="C5" s="549">
        <f>+'New Year-Full Year'!P81+'New Year-Full Year'!P84</f>
        <v>0</v>
      </c>
      <c r="D5" s="1333" t="str">
        <f>+"Annually  ($"&amp;'New Year-Full Year'!P81-22000&amp;" salary, $22000 housing, and $"&amp;'New Year-Full Year'!P84&amp;" FICA Tax)"</f>
        <v>Annually  ($-22000 salary, $22000 housing, and $0 FICA Tax)</v>
      </c>
      <c r="E5" s="1334"/>
    </row>
    <row r="6" spans="1:5" ht="16" thickBot="1" x14ac:dyDescent="0.4">
      <c r="B6" s="551" t="s">
        <v>327</v>
      </c>
      <c r="C6" s="550">
        <f>+'New Year-Full Year'!P86</f>
        <v>0</v>
      </c>
      <c r="D6" s="1335" t="str">
        <f>"Annually (the Portico % to use is "&amp;'Pastor Karen'!Q39*100&amp;"%)"</f>
        <v>Annually (the Portico % to use is 22.5%)</v>
      </c>
      <c r="E6" s="1336"/>
    </row>
    <row r="7" spans="1:5" x14ac:dyDescent="0.35">
      <c r="B7" s="548" t="s">
        <v>395</v>
      </c>
      <c r="C7" s="549">
        <f>+'New Year-Full Year'!P94+'New Year-Full Year'!P96</f>
        <v>69491</v>
      </c>
      <c r="D7" s="1333" t="str">
        <f>+"Annually  ($"&amp;'New Year-Full Year'!P94-20000&amp;" salary, $20000 housing, and $"&amp;'New Year-Full Year'!P96&amp;" FICA Tax)"</f>
        <v>Annually  ($44553 salary, $20000 housing, and $4938 FICA Tax)</v>
      </c>
      <c r="E7" s="1334"/>
    </row>
    <row r="8" spans="1:5" ht="16" thickBot="1" x14ac:dyDescent="0.4">
      <c r="B8" s="551" t="s">
        <v>327</v>
      </c>
      <c r="C8" s="550">
        <f>+'New Year-Full Year'!P97</f>
        <v>6949</v>
      </c>
      <c r="D8" s="1335" t="str">
        <f>"Annually (the Portico % to use is "&amp;'Assoc. Pastor'!E37*100&amp;"%)"</f>
        <v>Annually (the Portico % to use is 16%)</v>
      </c>
      <c r="E8" s="1336"/>
    </row>
    <row r="9" spans="1:5" ht="18.5" customHeight="1" thickBot="1" x14ac:dyDescent="0.4">
      <c r="A9" s="547"/>
      <c r="B9" s="547"/>
      <c r="C9" s="547"/>
      <c r="D9" s="547"/>
      <c r="E9" s="547"/>
    </row>
    <row r="10" spans="1:5" ht="30" customHeight="1" thickBot="1" x14ac:dyDescent="0.4">
      <c r="A10" s="351"/>
      <c r="B10" s="369" t="s">
        <v>265</v>
      </c>
      <c r="C10" s="370" t="s">
        <v>266</v>
      </c>
      <c r="D10" s="351"/>
      <c r="E10" s="687"/>
    </row>
    <row r="11" spans="1:5" ht="18.5" customHeight="1" x14ac:dyDescent="0.35">
      <c r="A11" s="351"/>
      <c r="B11" s="365" t="s">
        <v>328</v>
      </c>
      <c r="C11" s="366">
        <f>+'New Year-Full Year'!F106</f>
        <v>10</v>
      </c>
      <c r="D11" s="351"/>
      <c r="E11" s="351"/>
    </row>
    <row r="12" spans="1:5" ht="18.5" customHeight="1" x14ac:dyDescent="0.35">
      <c r="A12" s="351"/>
      <c r="B12" s="365" t="s">
        <v>324</v>
      </c>
      <c r="C12" s="366">
        <f>+'New Year-Full Year'!F124</f>
        <v>22</v>
      </c>
      <c r="D12" s="688"/>
      <c r="E12" s="351"/>
    </row>
    <row r="13" spans="1:5" ht="18.5" customHeight="1" x14ac:dyDescent="0.35">
      <c r="A13" s="351"/>
      <c r="B13" s="365" t="s">
        <v>325</v>
      </c>
      <c r="C13" s="366">
        <f>+'New Year-Full Year'!F128</f>
        <v>12.25</v>
      </c>
      <c r="D13" s="351"/>
      <c r="E13" s="351"/>
    </row>
    <row r="14" spans="1:5" ht="18.5" customHeight="1" x14ac:dyDescent="0.35">
      <c r="A14" s="880"/>
      <c r="B14" s="365" t="s">
        <v>568</v>
      </c>
      <c r="C14" s="366">
        <f>+'New Year-Full Year'!F129</f>
        <v>13.33</v>
      </c>
      <c r="D14" s="880"/>
      <c r="E14" s="880"/>
    </row>
    <row r="15" spans="1:5" ht="18.5" hidden="1" customHeight="1" x14ac:dyDescent="0.35">
      <c r="A15" s="351"/>
      <c r="B15" s="365" t="s">
        <v>569</v>
      </c>
      <c r="C15" s="366">
        <f>+'New Year-Full Year'!F130</f>
        <v>11</v>
      </c>
      <c r="D15" s="351"/>
      <c r="E15" s="351"/>
    </row>
    <row r="16" spans="1:5" ht="4" customHeight="1" thickBot="1" x14ac:dyDescent="0.4">
      <c r="A16" s="351"/>
      <c r="B16" s="367"/>
      <c r="C16" s="368"/>
      <c r="D16" s="351"/>
      <c r="E16" s="351"/>
    </row>
    <row r="17" spans="1:7" ht="8" customHeight="1" x14ac:dyDescent="0.35">
      <c r="A17" s="351"/>
      <c r="B17" s="351"/>
      <c r="C17" s="351"/>
      <c r="D17" s="351"/>
      <c r="E17" s="351"/>
    </row>
    <row r="18" spans="1:7" ht="18.5" customHeight="1" thickBot="1" x14ac:dyDescent="0.4">
      <c r="A18" s="351"/>
      <c r="B18" s="342" t="s">
        <v>264</v>
      </c>
      <c r="C18" s="351"/>
      <c r="D18" s="351"/>
      <c r="E18" s="351"/>
    </row>
    <row r="19" spans="1:7" ht="16" thickBot="1" x14ac:dyDescent="0.4">
      <c r="A19" s="344"/>
      <c r="B19" s="356" t="s">
        <v>268</v>
      </c>
      <c r="C19" s="372"/>
      <c r="D19" s="1343" t="s">
        <v>267</v>
      </c>
      <c r="E19" s="1344"/>
    </row>
    <row r="20" spans="1:7" ht="52" customHeight="1" thickBot="1" x14ac:dyDescent="0.4">
      <c r="B20" s="371" t="s">
        <v>217</v>
      </c>
      <c r="C20" s="423">
        <f>+'Band and Other Music'!G12</f>
        <v>3263</v>
      </c>
      <c r="D20" s="1345" t="s">
        <v>530</v>
      </c>
      <c r="E20" s="1346"/>
    </row>
    <row r="21" spans="1:7" ht="33" customHeight="1" thickBot="1" x14ac:dyDescent="0.4">
      <c r="B21" s="371" t="s">
        <v>105</v>
      </c>
      <c r="C21" s="423">
        <f>+'New Year-Full Year'!P110</f>
        <v>17299</v>
      </c>
      <c r="D21" s="1345" t="s">
        <v>187</v>
      </c>
      <c r="E21" s="1346"/>
    </row>
    <row r="22" spans="1:7" ht="33" customHeight="1" thickBot="1" x14ac:dyDescent="0.4">
      <c r="B22" s="371" t="s">
        <v>326</v>
      </c>
      <c r="C22" s="423">
        <f>+'New Year-Full Year'!P118</f>
        <v>0</v>
      </c>
      <c r="D22" s="1345" t="s">
        <v>187</v>
      </c>
      <c r="E22" s="1346"/>
    </row>
    <row r="23" spans="1:7" ht="16" thickBot="1" x14ac:dyDescent="0.4">
      <c r="A23" s="352"/>
      <c r="B23" s="345"/>
      <c r="C23" s="373"/>
      <c r="D23" s="345"/>
    </row>
    <row r="24" spans="1:7" ht="16" thickBot="1" x14ac:dyDescent="0.4">
      <c r="A24" s="346"/>
      <c r="B24" s="356" t="s">
        <v>241</v>
      </c>
      <c r="C24" s="372"/>
      <c r="D24" s="357"/>
      <c r="E24" s="358"/>
    </row>
    <row r="25" spans="1:7" x14ac:dyDescent="0.35">
      <c r="A25" s="1337"/>
      <c r="B25" s="353" t="s">
        <v>525</v>
      </c>
      <c r="C25" s="424">
        <f>+'Band and Other Music'!G23</f>
        <v>5</v>
      </c>
      <c r="D25" s="1338" t="s">
        <v>491</v>
      </c>
      <c r="E25" s="1339"/>
    </row>
    <row r="26" spans="1:7" x14ac:dyDescent="0.35">
      <c r="A26" s="1337"/>
      <c r="B26" s="353" t="s">
        <v>526</v>
      </c>
      <c r="C26" s="424">
        <f>+'Band and Other Music'!G24</f>
        <v>3</v>
      </c>
      <c r="D26" s="1338"/>
      <c r="E26" s="1339"/>
    </row>
    <row r="27" spans="1:7" x14ac:dyDescent="0.35">
      <c r="A27" s="1337"/>
      <c r="B27" s="353" t="s">
        <v>574</v>
      </c>
      <c r="C27" s="425">
        <f>+'Band and Other Music'!G25</f>
        <v>0</v>
      </c>
      <c r="D27" s="1338"/>
      <c r="E27" s="1339"/>
      <c r="G27" s="347"/>
    </row>
    <row r="28" spans="1:7" ht="16" thickBot="1" x14ac:dyDescent="0.4">
      <c r="A28" s="1337"/>
      <c r="B28" s="354" t="s">
        <v>574</v>
      </c>
      <c r="C28" s="426">
        <f>+'Band and Other Music'!G26</f>
        <v>60</v>
      </c>
      <c r="D28" s="1340"/>
      <c r="E28" s="1341"/>
    </row>
    <row r="29" spans="1:7" ht="16" thickBot="1" x14ac:dyDescent="0.4">
      <c r="A29" s="346"/>
    </row>
    <row r="30" spans="1:7" ht="16" thickBot="1" x14ac:dyDescent="0.4">
      <c r="A30" s="346"/>
      <c r="B30" s="356" t="s">
        <v>490</v>
      </c>
      <c r="C30" s="372"/>
      <c r="D30" s="357"/>
      <c r="E30" s="358"/>
    </row>
    <row r="31" spans="1:7" x14ac:dyDescent="0.35">
      <c r="A31" s="1337"/>
      <c r="B31" s="353" t="s">
        <v>527</v>
      </c>
      <c r="C31" s="424">
        <f>+'Band and Other Music'!G39</f>
        <v>0</v>
      </c>
      <c r="D31" s="1338" t="s">
        <v>263</v>
      </c>
      <c r="E31" s="1339"/>
    </row>
    <row r="32" spans="1:7" ht="16" thickBot="1" x14ac:dyDescent="0.4">
      <c r="A32" s="1337"/>
      <c r="B32" s="354" t="s">
        <v>572</v>
      </c>
      <c r="C32" s="426">
        <f>+'Band and Other Music'!G40</f>
        <v>25</v>
      </c>
      <c r="D32" s="1340"/>
      <c r="E32" s="1341"/>
    </row>
    <row r="33" spans="1:9" ht="16" thickBot="1" x14ac:dyDescent="0.4">
      <c r="A33" s="346"/>
    </row>
    <row r="34" spans="1:9" ht="16" thickBot="1" x14ac:dyDescent="0.4">
      <c r="A34" s="346"/>
      <c r="B34" s="356" t="s">
        <v>258</v>
      </c>
      <c r="C34" s="372"/>
      <c r="D34" s="357"/>
      <c r="E34" s="358"/>
      <c r="G34" s="1342" t="s">
        <v>715</v>
      </c>
      <c r="H34" s="1342"/>
      <c r="I34" s="1342"/>
    </row>
    <row r="35" spans="1:9" x14ac:dyDescent="0.35">
      <c r="A35" s="1337"/>
      <c r="B35" s="353" t="s">
        <v>528</v>
      </c>
      <c r="C35" s="424">
        <f>+'Band and Other Music'!G47</f>
        <v>3</v>
      </c>
      <c r="D35" s="346" t="s">
        <v>249</v>
      </c>
      <c r="E35" s="359"/>
      <c r="G35" s="1342"/>
      <c r="H35" s="1342"/>
      <c r="I35" s="1342"/>
    </row>
    <row r="36" spans="1:9" ht="16" thickBot="1" x14ac:dyDescent="0.4">
      <c r="A36" s="1337"/>
      <c r="B36" s="361" t="s">
        <v>572</v>
      </c>
      <c r="C36" s="427">
        <f>+'Band and Other Music'!G48</f>
        <v>60</v>
      </c>
      <c r="D36" s="348"/>
      <c r="E36" s="362"/>
      <c r="G36" s="1342"/>
      <c r="H36" s="1342"/>
      <c r="I36" s="1342"/>
    </row>
    <row r="37" spans="1:9" ht="15" customHeight="1" x14ac:dyDescent="0.35">
      <c r="A37" s="1337"/>
      <c r="B37" s="363" t="s">
        <v>269</v>
      </c>
      <c r="C37" s="428">
        <f>+'Band and Other Music'!G50</f>
        <v>0</v>
      </c>
      <c r="D37" s="349" t="s">
        <v>249</v>
      </c>
      <c r="E37" s="364"/>
      <c r="G37" s="1342"/>
      <c r="H37" s="1342"/>
      <c r="I37" s="1342"/>
    </row>
    <row r="38" spans="1:9" ht="15" customHeight="1" thickBot="1" x14ac:dyDescent="0.4">
      <c r="A38" s="1337"/>
      <c r="B38" s="354" t="s">
        <v>573</v>
      </c>
      <c r="C38" s="426">
        <f>+'Band and Other Music'!G51</f>
        <v>25</v>
      </c>
      <c r="D38" s="355"/>
      <c r="E38" s="360"/>
      <c r="G38" s="1342"/>
      <c r="H38" s="1342"/>
      <c r="I38" s="1342"/>
    </row>
    <row r="39" spans="1:9" ht="16" thickBot="1" x14ac:dyDescent="0.4">
      <c r="A39" s="350"/>
      <c r="B39" s="346"/>
      <c r="C39" s="374"/>
      <c r="D39" s="346"/>
      <c r="E39" s="346"/>
    </row>
    <row r="40" spans="1:9" ht="16" thickBot="1" x14ac:dyDescent="0.4">
      <c r="A40" s="346"/>
      <c r="B40" s="356" t="s">
        <v>218</v>
      </c>
      <c r="C40" s="372"/>
      <c r="D40" s="357"/>
      <c r="E40" s="358"/>
    </row>
    <row r="41" spans="1:9" x14ac:dyDescent="0.35">
      <c r="A41" s="1337"/>
      <c r="B41" s="353" t="s">
        <v>529</v>
      </c>
      <c r="C41" s="424">
        <f>+'Band and Other Music'!G71</f>
        <v>0</v>
      </c>
      <c r="D41" s="346"/>
      <c r="E41" s="359"/>
    </row>
    <row r="42" spans="1:9" ht="16" thickBot="1" x14ac:dyDescent="0.4">
      <c r="A42" s="1337"/>
      <c r="B42" s="354" t="s">
        <v>571</v>
      </c>
      <c r="C42" s="426">
        <f>+'Band and Other Music'!G72</f>
        <v>25</v>
      </c>
      <c r="D42" s="355"/>
      <c r="E42" s="360"/>
    </row>
    <row r="43" spans="1:9" ht="16" thickBot="1" x14ac:dyDescent="0.4">
      <c r="A43" s="346"/>
      <c r="C43" s="376"/>
    </row>
    <row r="44" spans="1:9" ht="16" thickBot="1" x14ac:dyDescent="0.4">
      <c r="A44" s="346"/>
      <c r="B44" s="356" t="s">
        <v>570</v>
      </c>
      <c r="C44" s="372"/>
      <c r="D44" s="357"/>
      <c r="E44" s="358"/>
    </row>
    <row r="45" spans="1:9" x14ac:dyDescent="0.35">
      <c r="A45" s="1337"/>
      <c r="B45" s="353" t="s">
        <v>529</v>
      </c>
      <c r="C45" s="740">
        <v>1</v>
      </c>
      <c r="D45" s="346"/>
      <c r="E45" s="359"/>
    </row>
    <row r="46" spans="1:9" ht="16" thickBot="1" x14ac:dyDescent="0.4">
      <c r="A46" s="1337"/>
      <c r="B46" s="354" t="s">
        <v>571</v>
      </c>
      <c r="C46" s="884">
        <v>35</v>
      </c>
      <c r="D46" s="355"/>
      <c r="E46" s="360"/>
    </row>
    <row r="47" spans="1:9" x14ac:dyDescent="0.35">
      <c r="A47" s="346"/>
    </row>
    <row r="48" spans="1:9" x14ac:dyDescent="0.35">
      <c r="A48" s="346"/>
    </row>
    <row r="49" spans="1:1" x14ac:dyDescent="0.35">
      <c r="A49" s="346"/>
    </row>
    <row r="50" spans="1:1" x14ac:dyDescent="0.35">
      <c r="A50" s="346"/>
    </row>
    <row r="51" spans="1:1" x14ac:dyDescent="0.35">
      <c r="A51" s="346"/>
    </row>
    <row r="52" spans="1:1" x14ac:dyDescent="0.35">
      <c r="A52" s="346"/>
    </row>
    <row r="53" spans="1:1" x14ac:dyDescent="0.35">
      <c r="A53" s="346"/>
    </row>
    <row r="54" spans="1:1" x14ac:dyDescent="0.35">
      <c r="A54" s="346"/>
    </row>
    <row r="55" spans="1:1" x14ac:dyDescent="0.35">
      <c r="A55" s="346"/>
    </row>
    <row r="56" spans="1:1" x14ac:dyDescent="0.35">
      <c r="A56" s="346"/>
    </row>
    <row r="57" spans="1:1" x14ac:dyDescent="0.35">
      <c r="A57" s="346"/>
    </row>
    <row r="58" spans="1:1" x14ac:dyDescent="0.35">
      <c r="A58" s="346"/>
    </row>
    <row r="59" spans="1:1" x14ac:dyDescent="0.35">
      <c r="A59" s="346"/>
    </row>
  </sheetData>
  <mergeCells count="20">
    <mergeCell ref="G34:I38"/>
    <mergeCell ref="A25:A28"/>
    <mergeCell ref="D19:E19"/>
    <mergeCell ref="A31:A32"/>
    <mergeCell ref="A35:A36"/>
    <mergeCell ref="D21:E21"/>
    <mergeCell ref="D22:E22"/>
    <mergeCell ref="D20:E20"/>
    <mergeCell ref="A45:A46"/>
    <mergeCell ref="A41:A42"/>
    <mergeCell ref="D25:E28"/>
    <mergeCell ref="D31:E32"/>
    <mergeCell ref="A37:A38"/>
    <mergeCell ref="B4:E4"/>
    <mergeCell ref="A1:E1"/>
    <mergeCell ref="A2:E2"/>
    <mergeCell ref="D7:E7"/>
    <mergeCell ref="D8:E8"/>
    <mergeCell ref="D6:E6"/>
    <mergeCell ref="D5:E5"/>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3" t="s">
        <v>83</v>
      </c>
      <c r="C1" s="381"/>
      <c r="D1" s="381"/>
      <c r="E1" s="381"/>
    </row>
    <row r="2" spans="1:9" ht="23.25" customHeight="1" x14ac:dyDescent="0.35">
      <c r="E2" s="382" t="s">
        <v>82</v>
      </c>
    </row>
    <row r="3" spans="1:9" x14ac:dyDescent="0.35">
      <c r="E3" s="1347" t="s">
        <v>184</v>
      </c>
      <c r="F3" s="1349" t="s">
        <v>184</v>
      </c>
      <c r="G3" s="1350"/>
      <c r="H3" s="1350"/>
      <c r="I3" s="1351"/>
    </row>
    <row r="4" spans="1:9" s="2" customFormat="1" x14ac:dyDescent="0.35">
      <c r="A4" s="43"/>
      <c r="D4" s="14"/>
      <c r="E4" s="1348"/>
      <c r="F4" s="377" t="s">
        <v>271</v>
      </c>
      <c r="G4" s="378" t="s">
        <v>272</v>
      </c>
      <c r="H4" s="378" t="s">
        <v>273</v>
      </c>
      <c r="I4" s="378" t="s">
        <v>274</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5" t="s">
        <v>80</v>
      </c>
      <c r="D11" s="237"/>
      <c r="E11" s="222">
        <v>2000</v>
      </c>
      <c r="G11" s="1">
        <v>2000</v>
      </c>
    </row>
    <row r="12" spans="1:9" x14ac:dyDescent="0.35">
      <c r="A12" s="42">
        <v>31</v>
      </c>
      <c r="C12" s="230" t="s">
        <v>13</v>
      </c>
      <c r="D12" s="240"/>
      <c r="E12" s="227">
        <v>1000</v>
      </c>
      <c r="G12" s="1">
        <v>1000</v>
      </c>
    </row>
    <row r="13" spans="1:9" x14ac:dyDescent="0.35">
      <c r="A13" s="42">
        <v>32</v>
      </c>
      <c r="C13" s="230" t="s">
        <v>181</v>
      </c>
      <c r="D13" s="240"/>
      <c r="E13" s="227">
        <v>1000</v>
      </c>
      <c r="G13" s="1">
        <v>1000</v>
      </c>
    </row>
    <row r="14" spans="1:9" x14ac:dyDescent="0.35">
      <c r="A14" s="42">
        <v>33</v>
      </c>
      <c r="C14" s="230" t="s">
        <v>14</v>
      </c>
      <c r="D14" s="240"/>
      <c r="E14" s="227">
        <v>300</v>
      </c>
      <c r="G14" s="1">
        <v>300</v>
      </c>
    </row>
    <row r="15" spans="1:9" ht="14.5" customHeight="1" x14ac:dyDescent="0.35">
      <c r="A15" s="42">
        <v>34</v>
      </c>
      <c r="C15" s="230" t="s">
        <v>15</v>
      </c>
      <c r="D15" s="240"/>
      <c r="E15" s="227">
        <v>200</v>
      </c>
      <c r="G15" s="1">
        <v>200</v>
      </c>
    </row>
    <row r="16" spans="1:9" x14ac:dyDescent="0.35">
      <c r="C16" s="230" t="s">
        <v>104</v>
      </c>
      <c r="D16" s="240"/>
      <c r="E16" s="227">
        <v>750</v>
      </c>
      <c r="G16" s="1">
        <v>750</v>
      </c>
    </row>
    <row r="17" spans="1:7" ht="14.4" customHeight="1" x14ac:dyDescent="0.35">
      <c r="A17" s="42">
        <v>35</v>
      </c>
      <c r="C17" s="235" t="s">
        <v>84</v>
      </c>
      <c r="D17" s="243"/>
      <c r="E17" s="232">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5" t="s">
        <v>17</v>
      </c>
      <c r="D21" s="237"/>
      <c r="E21" s="250">
        <v>4000</v>
      </c>
      <c r="F21" s="1">
        <v>4000</v>
      </c>
    </row>
    <row r="22" spans="1:7" x14ac:dyDescent="0.35">
      <c r="C22" s="230" t="s">
        <v>150</v>
      </c>
      <c r="D22" s="240"/>
      <c r="E22" s="227">
        <v>0</v>
      </c>
      <c r="F22" s="1">
        <v>0</v>
      </c>
    </row>
    <row r="23" spans="1:7" x14ac:dyDescent="0.35">
      <c r="A23" s="42">
        <v>43</v>
      </c>
      <c r="C23" s="230" t="s">
        <v>18</v>
      </c>
      <c r="D23" s="240"/>
      <c r="E23" s="227">
        <v>100</v>
      </c>
      <c r="F23" s="1">
        <v>100</v>
      </c>
    </row>
    <row r="24" spans="1:7" x14ac:dyDescent="0.35">
      <c r="A24" s="42">
        <v>44</v>
      </c>
      <c r="C24" s="235" t="s">
        <v>19</v>
      </c>
      <c r="D24" s="243"/>
      <c r="E24" s="232">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5" t="s">
        <v>92</v>
      </c>
      <c r="D30" s="237"/>
      <c r="E30" s="222">
        <v>400</v>
      </c>
      <c r="F30" s="1">
        <v>400</v>
      </c>
    </row>
    <row r="31" spans="1:7" x14ac:dyDescent="0.35">
      <c r="A31" s="42">
        <v>55</v>
      </c>
      <c r="C31" s="235" t="s">
        <v>87</v>
      </c>
      <c r="D31" s="243"/>
      <c r="E31" s="232">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5" t="s">
        <v>23</v>
      </c>
      <c r="D37" s="237"/>
      <c r="E37" s="250">
        <v>200</v>
      </c>
      <c r="F37" s="1">
        <v>200</v>
      </c>
    </row>
    <row r="38" spans="1:8" x14ac:dyDescent="0.35">
      <c r="A38" s="42">
        <v>62</v>
      </c>
      <c r="C38" s="230" t="s">
        <v>24</v>
      </c>
      <c r="D38" s="240"/>
      <c r="E38" s="248">
        <v>800</v>
      </c>
      <c r="F38" s="1">
        <v>800</v>
      </c>
    </row>
    <row r="39" spans="1:8" x14ac:dyDescent="0.35">
      <c r="A39" s="42">
        <v>63</v>
      </c>
      <c r="C39" s="230" t="s">
        <v>25</v>
      </c>
      <c r="D39" s="240"/>
      <c r="E39" s="248">
        <v>1000</v>
      </c>
      <c r="H39" s="1">
        <v>1000</v>
      </c>
    </row>
    <row r="40" spans="1:8" x14ac:dyDescent="0.35">
      <c r="A40" s="42">
        <v>64</v>
      </c>
      <c r="C40" s="230" t="s">
        <v>26</v>
      </c>
      <c r="D40" s="240"/>
      <c r="E40" s="248">
        <v>3000</v>
      </c>
      <c r="H40" s="1">
        <v>3000</v>
      </c>
    </row>
    <row r="41" spans="1:8" x14ac:dyDescent="0.35">
      <c r="C41" s="230" t="s">
        <v>107</v>
      </c>
      <c r="D41" s="240"/>
      <c r="E41" s="248">
        <v>200</v>
      </c>
      <c r="F41" s="1">
        <v>200</v>
      </c>
    </row>
    <row r="42" spans="1:8" x14ac:dyDescent="0.35">
      <c r="C42" s="230" t="s">
        <v>174</v>
      </c>
      <c r="D42" s="240"/>
      <c r="E42" s="248">
        <v>0</v>
      </c>
      <c r="F42" s="1">
        <v>0</v>
      </c>
    </row>
    <row r="43" spans="1:8" x14ac:dyDescent="0.35">
      <c r="A43" s="42">
        <v>65</v>
      </c>
      <c r="C43" s="235" t="s">
        <v>112</v>
      </c>
      <c r="D43" s="243"/>
      <c r="E43" s="249">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5" t="s">
        <v>29</v>
      </c>
      <c r="D47" s="237"/>
      <c r="E47" s="250">
        <v>3500</v>
      </c>
      <c r="F47" s="1">
        <v>3500</v>
      </c>
    </row>
    <row r="48" spans="1:8" x14ac:dyDescent="0.35">
      <c r="A48" s="42">
        <v>70</v>
      </c>
      <c r="C48" s="230" t="s">
        <v>30</v>
      </c>
      <c r="D48" s="240"/>
      <c r="E48" s="227">
        <v>3250</v>
      </c>
      <c r="F48" s="1">
        <v>3250</v>
      </c>
    </row>
    <row r="49" spans="1:6" ht="14.5" customHeight="1" x14ac:dyDescent="0.35">
      <c r="A49" s="42">
        <v>73</v>
      </c>
      <c r="C49" s="230" t="s">
        <v>31</v>
      </c>
      <c r="D49" s="240"/>
      <c r="E49" s="248">
        <v>13000</v>
      </c>
      <c r="F49" s="1">
        <v>13000</v>
      </c>
    </row>
    <row r="50" spans="1:6" x14ac:dyDescent="0.35">
      <c r="A50" s="42">
        <v>74</v>
      </c>
      <c r="C50" s="230" t="s">
        <v>32</v>
      </c>
      <c r="D50" s="240"/>
      <c r="E50" s="248">
        <v>1000</v>
      </c>
      <c r="F50" s="1">
        <v>1000</v>
      </c>
    </row>
    <row r="51" spans="1:6" x14ac:dyDescent="0.35">
      <c r="A51" s="42">
        <v>75</v>
      </c>
      <c r="C51" s="235" t="s">
        <v>33</v>
      </c>
      <c r="D51" s="243"/>
      <c r="E51" s="249">
        <v>1700</v>
      </c>
      <c r="F51" s="1">
        <v>1700</v>
      </c>
    </row>
    <row r="52" spans="1:6" ht="14.5" customHeight="1" x14ac:dyDescent="0.35">
      <c r="A52" s="42">
        <v>73</v>
      </c>
      <c r="C52" s="230" t="s">
        <v>270</v>
      </c>
      <c r="D52" s="240"/>
      <c r="E52" s="248">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5" t="s">
        <v>171</v>
      </c>
      <c r="D58" s="237"/>
      <c r="E58" s="256">
        <v>72737</v>
      </c>
    </row>
    <row r="59" spans="1:6" x14ac:dyDescent="0.35">
      <c r="A59" s="42">
        <v>82</v>
      </c>
      <c r="C59" s="230" t="s">
        <v>36</v>
      </c>
      <c r="D59" s="240"/>
      <c r="E59" s="264">
        <v>1500</v>
      </c>
    </row>
    <row r="60" spans="1:6" ht="14.5" customHeight="1" x14ac:dyDescent="0.35">
      <c r="C60" s="230" t="s">
        <v>101</v>
      </c>
      <c r="D60" s="240"/>
      <c r="E60" s="264">
        <v>5564.3805000000002</v>
      </c>
    </row>
    <row r="61" spans="1:6" ht="14" customHeight="1" x14ac:dyDescent="0.35">
      <c r="C61" s="230" t="s">
        <v>165</v>
      </c>
      <c r="D61" s="240"/>
      <c r="E61" s="264">
        <v>16110</v>
      </c>
    </row>
    <row r="62" spans="1:6" ht="14.4" customHeight="1" x14ac:dyDescent="0.35">
      <c r="A62" s="42">
        <v>83</v>
      </c>
      <c r="C62" s="230" t="s">
        <v>166</v>
      </c>
      <c r="D62" s="240"/>
      <c r="E62" s="264">
        <v>2662</v>
      </c>
    </row>
    <row r="63" spans="1:6" x14ac:dyDescent="0.35">
      <c r="C63" s="230" t="s">
        <v>103</v>
      </c>
      <c r="D63" s="240"/>
      <c r="E63" s="264">
        <v>600</v>
      </c>
    </row>
    <row r="64" spans="1:6" x14ac:dyDescent="0.35">
      <c r="C64" s="230" t="s">
        <v>205</v>
      </c>
      <c r="D64" s="240"/>
      <c r="E64" s="264">
        <v>480</v>
      </c>
    </row>
    <row r="65" spans="1:8" x14ac:dyDescent="0.35">
      <c r="A65" s="42">
        <v>85</v>
      </c>
      <c r="C65" s="235" t="s">
        <v>37</v>
      </c>
      <c r="D65" s="243"/>
      <c r="E65" s="278">
        <v>1000</v>
      </c>
      <c r="F65" s="379">
        <v>0.4</v>
      </c>
      <c r="G65" s="379">
        <v>0.2</v>
      </c>
      <c r="H65" s="379">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5" t="s">
        <v>38</v>
      </c>
      <c r="D69" s="237"/>
      <c r="E69" s="250">
        <v>45000</v>
      </c>
    </row>
    <row r="70" spans="1:8" x14ac:dyDescent="0.35">
      <c r="C70" s="230" t="s">
        <v>37</v>
      </c>
      <c r="D70" s="240"/>
      <c r="E70" s="248">
        <v>750</v>
      </c>
    </row>
    <row r="71" spans="1:8" x14ac:dyDescent="0.35">
      <c r="C71" s="230" t="s">
        <v>39</v>
      </c>
      <c r="D71" s="240"/>
      <c r="E71" s="248">
        <v>1500</v>
      </c>
    </row>
    <row r="72" spans="1:8" x14ac:dyDescent="0.35">
      <c r="C72" s="230" t="s">
        <v>205</v>
      </c>
      <c r="D72" s="240"/>
      <c r="E72" s="248">
        <v>480</v>
      </c>
    </row>
    <row r="73" spans="1:8" x14ac:dyDescent="0.35">
      <c r="C73" s="230" t="s">
        <v>103</v>
      </c>
      <c r="D73" s="240"/>
      <c r="E73" s="248">
        <v>350</v>
      </c>
    </row>
    <row r="74" spans="1:8" x14ac:dyDescent="0.35">
      <c r="A74" s="42">
        <v>90</v>
      </c>
      <c r="C74" s="235" t="s">
        <v>211</v>
      </c>
      <c r="D74" s="243"/>
      <c r="E74" s="249">
        <v>2000</v>
      </c>
      <c r="F74" s="379">
        <v>0.4</v>
      </c>
      <c r="G74" s="379">
        <v>0.4</v>
      </c>
      <c r="H74" s="379">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5" t="s">
        <v>38</v>
      </c>
      <c r="D79" s="237"/>
      <c r="E79" s="256">
        <v>20808</v>
      </c>
      <c r="G79" s="1">
        <v>20808</v>
      </c>
    </row>
    <row r="80" spans="1:8" x14ac:dyDescent="0.35">
      <c r="A80" s="42">
        <v>95</v>
      </c>
      <c r="C80" s="235" t="s">
        <v>40</v>
      </c>
      <c r="D80" s="243"/>
      <c r="E80" s="278">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5" t="s">
        <v>105</v>
      </c>
      <c r="D85" s="237"/>
      <c r="E85" s="256">
        <v>15918</v>
      </c>
      <c r="F85" s="1">
        <v>15918</v>
      </c>
    </row>
    <row r="86" spans="1:7" x14ac:dyDescent="0.35">
      <c r="C86" s="225" t="s">
        <v>217</v>
      </c>
      <c r="D86" s="237"/>
      <c r="E86" s="256">
        <v>3000</v>
      </c>
      <c r="F86" s="1">
        <v>3000</v>
      </c>
    </row>
    <row r="87" spans="1:7" x14ac:dyDescent="0.35">
      <c r="A87" s="42">
        <v>109</v>
      </c>
      <c r="C87" s="230" t="s">
        <v>43</v>
      </c>
      <c r="D87" s="240"/>
      <c r="E87" s="227">
        <v>500</v>
      </c>
      <c r="F87" s="1">
        <v>500</v>
      </c>
    </row>
    <row r="88" spans="1:7" x14ac:dyDescent="0.35">
      <c r="A88" s="42">
        <v>110</v>
      </c>
      <c r="C88" s="230" t="s">
        <v>44</v>
      </c>
      <c r="D88" s="240"/>
      <c r="E88" s="264">
        <v>13290</v>
      </c>
      <c r="F88" s="1">
        <v>13290</v>
      </c>
    </row>
    <row r="89" spans="1:7" x14ac:dyDescent="0.35">
      <c r="A89" s="42">
        <v>110</v>
      </c>
      <c r="C89" s="1181" t="s">
        <v>262</v>
      </c>
      <c r="D89" s="1181"/>
      <c r="E89" s="264">
        <v>3000</v>
      </c>
      <c r="F89" s="1">
        <v>3000</v>
      </c>
    </row>
    <row r="90" spans="1:7" x14ac:dyDescent="0.35">
      <c r="C90" s="230" t="s">
        <v>257</v>
      </c>
      <c r="D90" s="240"/>
      <c r="E90" s="264">
        <v>3350</v>
      </c>
      <c r="F90" s="1">
        <v>3350</v>
      </c>
    </row>
    <row r="91" spans="1:7" x14ac:dyDescent="0.35">
      <c r="A91" s="42">
        <v>111</v>
      </c>
      <c r="C91" s="230" t="s">
        <v>45</v>
      </c>
      <c r="D91" s="240"/>
      <c r="E91" s="264">
        <v>7484</v>
      </c>
      <c r="F91" s="1">
        <v>7484</v>
      </c>
    </row>
    <row r="92" spans="1:7" x14ac:dyDescent="0.35">
      <c r="A92" s="42">
        <v>112</v>
      </c>
      <c r="C92" s="230" t="s">
        <v>46</v>
      </c>
      <c r="D92" s="240"/>
      <c r="E92" s="264">
        <v>1785</v>
      </c>
      <c r="G92" s="1">
        <v>1785</v>
      </c>
    </row>
    <row r="93" spans="1:7" x14ac:dyDescent="0.35">
      <c r="C93" s="230" t="s">
        <v>102</v>
      </c>
      <c r="D93" s="240"/>
      <c r="E93" s="248">
        <v>0</v>
      </c>
      <c r="G93" s="1">
        <v>0</v>
      </c>
    </row>
    <row r="94" spans="1:7" x14ac:dyDescent="0.35">
      <c r="A94" s="42">
        <v>113</v>
      </c>
      <c r="C94" s="235" t="s">
        <v>106</v>
      </c>
      <c r="D94" s="243"/>
      <c r="E94" s="278">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79">
        <v>0.33300000000000002</v>
      </c>
      <c r="G97" s="379">
        <v>0.33300000000000002</v>
      </c>
      <c r="H97" s="379">
        <v>0.33400000000000002</v>
      </c>
    </row>
    <row r="98" spans="1:9" x14ac:dyDescent="0.35">
      <c r="C98" s="230" t="s">
        <v>175</v>
      </c>
      <c r="D98" s="240"/>
      <c r="E98" s="256">
        <v>35360</v>
      </c>
      <c r="F98" s="1">
        <v>11774.880000000001</v>
      </c>
      <c r="G98" s="1">
        <v>11774.880000000001</v>
      </c>
      <c r="H98" s="1">
        <v>11810.24</v>
      </c>
    </row>
    <row r="99" spans="1:9" x14ac:dyDescent="0.35">
      <c r="A99" s="42">
        <v>122</v>
      </c>
      <c r="C99" s="230" t="s">
        <v>177</v>
      </c>
      <c r="D99" s="240"/>
      <c r="E99" s="248">
        <v>1000</v>
      </c>
      <c r="F99" s="1">
        <v>333</v>
      </c>
      <c r="G99" s="1">
        <v>333</v>
      </c>
      <c r="H99" s="1">
        <v>334</v>
      </c>
    </row>
    <row r="100" spans="1:9" x14ac:dyDescent="0.35">
      <c r="A100" s="42">
        <v>118</v>
      </c>
      <c r="C100" s="230" t="s">
        <v>50</v>
      </c>
      <c r="D100" s="240"/>
      <c r="E100" s="264">
        <v>33465</v>
      </c>
      <c r="I100" s="1">
        <v>33465</v>
      </c>
    </row>
    <row r="101" spans="1:9" x14ac:dyDescent="0.35">
      <c r="A101" s="42">
        <v>119</v>
      </c>
      <c r="C101" s="230" t="s">
        <v>51</v>
      </c>
      <c r="D101" s="240"/>
      <c r="E101" s="248">
        <v>400</v>
      </c>
      <c r="F101" s="1">
        <v>133.20000000000002</v>
      </c>
      <c r="G101" s="1">
        <v>133.20000000000002</v>
      </c>
      <c r="H101" s="1">
        <v>133.6</v>
      </c>
    </row>
    <row r="102" spans="1:9" x14ac:dyDescent="0.35">
      <c r="A102" s="42">
        <v>120</v>
      </c>
      <c r="C102" s="230" t="s">
        <v>95</v>
      </c>
      <c r="D102" s="240"/>
      <c r="E102" s="248">
        <v>700</v>
      </c>
      <c r="F102" s="1">
        <v>233.10000000000002</v>
      </c>
      <c r="G102" s="1">
        <v>233.10000000000002</v>
      </c>
      <c r="H102" s="1">
        <v>233.8</v>
      </c>
    </row>
    <row r="103" spans="1:9" ht="14" customHeight="1" x14ac:dyDescent="0.35">
      <c r="C103" s="230" t="s">
        <v>111</v>
      </c>
      <c r="D103" s="240"/>
      <c r="E103" s="264">
        <v>925</v>
      </c>
      <c r="F103" s="1">
        <v>925</v>
      </c>
    </row>
    <row r="104" spans="1:9" x14ac:dyDescent="0.35">
      <c r="C104" s="1181" t="s">
        <v>176</v>
      </c>
      <c r="D104" s="1181"/>
      <c r="E104" s="292">
        <v>11138</v>
      </c>
      <c r="F104" s="1">
        <v>3708.9540000000002</v>
      </c>
      <c r="G104" s="1">
        <v>3708.9540000000002</v>
      </c>
      <c r="H104" s="1">
        <v>3720.0920000000001</v>
      </c>
    </row>
    <row r="105" spans="1:9" ht="14.5" customHeight="1" x14ac:dyDescent="0.35">
      <c r="A105" s="42">
        <v>123</v>
      </c>
      <c r="C105" s="230" t="s">
        <v>52</v>
      </c>
      <c r="D105" s="240"/>
      <c r="E105" s="264">
        <v>14502</v>
      </c>
      <c r="F105" s="1">
        <v>4829.1660000000002</v>
      </c>
      <c r="G105" s="1">
        <v>4829.1660000000002</v>
      </c>
      <c r="H105" s="1">
        <v>4843.6680000000006</v>
      </c>
    </row>
    <row r="106" spans="1:9" ht="14.4" customHeight="1" x14ac:dyDescent="0.35">
      <c r="A106" s="42">
        <v>124</v>
      </c>
      <c r="C106" s="230" t="s">
        <v>53</v>
      </c>
      <c r="D106" s="240"/>
      <c r="E106" s="248">
        <v>3384</v>
      </c>
      <c r="F106" s="1">
        <v>1126.8720000000001</v>
      </c>
      <c r="G106" s="1">
        <v>1126.8720000000001</v>
      </c>
      <c r="H106" s="1">
        <v>1130.2560000000001</v>
      </c>
    </row>
    <row r="107" spans="1:9" x14ac:dyDescent="0.35">
      <c r="A107" s="42">
        <v>125</v>
      </c>
      <c r="C107" s="230" t="s">
        <v>54</v>
      </c>
      <c r="D107" s="240"/>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0" t="s">
        <v>59</v>
      </c>
      <c r="D113" s="240"/>
      <c r="E113" s="250">
        <v>10500</v>
      </c>
      <c r="I113" s="1">
        <v>10500</v>
      </c>
    </row>
    <row r="114" spans="1:9" ht="14.4" customHeight="1" x14ac:dyDescent="0.35">
      <c r="A114" s="42">
        <v>133</v>
      </c>
      <c r="C114" s="230" t="s">
        <v>60</v>
      </c>
      <c r="D114" s="240"/>
      <c r="E114" s="248">
        <v>8160</v>
      </c>
      <c r="I114" s="1">
        <v>8160</v>
      </c>
    </row>
    <row r="115" spans="1:9" x14ac:dyDescent="0.35">
      <c r="A115" s="42">
        <v>134</v>
      </c>
      <c r="C115" s="230" t="s">
        <v>61</v>
      </c>
      <c r="D115" s="240"/>
      <c r="E115" s="227">
        <v>4500</v>
      </c>
      <c r="I115" s="1">
        <v>4500</v>
      </c>
    </row>
    <row r="116" spans="1:9" ht="14.4" customHeight="1" x14ac:dyDescent="0.35">
      <c r="A116" s="42">
        <v>135</v>
      </c>
      <c r="C116" s="230" t="s">
        <v>62</v>
      </c>
      <c r="D116" s="240"/>
      <c r="E116" s="227">
        <v>816</v>
      </c>
      <c r="I116" s="1">
        <v>816</v>
      </c>
    </row>
    <row r="117" spans="1:9" ht="14.4" customHeight="1" x14ac:dyDescent="0.35">
      <c r="A117" s="42">
        <v>136</v>
      </c>
      <c r="C117" s="230" t="s">
        <v>63</v>
      </c>
      <c r="D117" s="240"/>
      <c r="E117" s="248">
        <v>300</v>
      </c>
      <c r="I117" s="1">
        <v>300</v>
      </c>
    </row>
    <row r="118" spans="1:9" ht="14.4" customHeight="1" x14ac:dyDescent="0.35">
      <c r="A118" s="42">
        <v>137</v>
      </c>
      <c r="C118" s="230" t="s">
        <v>64</v>
      </c>
      <c r="D118" s="240"/>
      <c r="E118" s="248">
        <v>600</v>
      </c>
      <c r="I118" s="1">
        <v>600</v>
      </c>
    </row>
    <row r="119" spans="1:9" ht="14.4" customHeight="1" x14ac:dyDescent="0.35">
      <c r="A119" s="42">
        <v>138</v>
      </c>
      <c r="C119" s="230" t="s">
        <v>100</v>
      </c>
      <c r="D119" s="240"/>
      <c r="E119" s="232">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5" t="s">
        <v>67</v>
      </c>
      <c r="D123" s="237"/>
      <c r="E123" s="250">
        <v>16899.940000000002</v>
      </c>
      <c r="I123" s="1">
        <v>16899.940000000002</v>
      </c>
    </row>
    <row r="124" spans="1:9" x14ac:dyDescent="0.35">
      <c r="A124" s="42">
        <v>143</v>
      </c>
      <c r="C124" s="230" t="s">
        <v>68</v>
      </c>
      <c r="D124" s="240"/>
      <c r="E124" s="227">
        <v>4500</v>
      </c>
      <c r="I124" s="1">
        <v>4500</v>
      </c>
    </row>
    <row r="125" spans="1:9" x14ac:dyDescent="0.35">
      <c r="A125" s="42">
        <v>144</v>
      </c>
      <c r="C125" s="230" t="s">
        <v>93</v>
      </c>
      <c r="D125" s="240"/>
      <c r="E125" s="227">
        <v>4000</v>
      </c>
      <c r="I125" s="1">
        <v>4000</v>
      </c>
    </row>
    <row r="126" spans="1:9" x14ac:dyDescent="0.35">
      <c r="A126" s="42">
        <v>145</v>
      </c>
      <c r="C126" s="1181" t="s">
        <v>96</v>
      </c>
      <c r="D126" s="1181"/>
      <c r="E126" s="248">
        <v>8000</v>
      </c>
      <c r="I126" s="1">
        <v>8000</v>
      </c>
    </row>
    <row r="127" spans="1:9" x14ac:dyDescent="0.35">
      <c r="A127" s="42">
        <v>146</v>
      </c>
      <c r="C127" s="235" t="s">
        <v>69</v>
      </c>
      <c r="D127" s="243"/>
      <c r="E127" s="232">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0" t="s">
        <v>144</v>
      </c>
      <c r="D133" s="240"/>
      <c r="E133" s="248">
        <v>12000</v>
      </c>
    </row>
    <row r="134" spans="1:9" x14ac:dyDescent="0.35">
      <c r="A134" s="42">
        <v>157</v>
      </c>
      <c r="C134" s="230" t="s">
        <v>149</v>
      </c>
      <c r="D134" s="240"/>
      <c r="E134" s="248">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99" t="s">
        <v>159</v>
      </c>
      <c r="C140" s="100"/>
      <c r="D140" s="100"/>
      <c r="E140" s="102">
        <v>513300</v>
      </c>
    </row>
    <row r="141" spans="1:9" x14ac:dyDescent="0.35">
      <c r="B141" s="106" t="s">
        <v>151</v>
      </c>
      <c r="C141" s="94"/>
      <c r="D141" s="94"/>
      <c r="E141" s="96">
        <v>500932.32049999997</v>
      </c>
      <c r="F141" s="384">
        <v>164734.65720000005</v>
      </c>
      <c r="G141" s="384">
        <v>103945.78110000001</v>
      </c>
      <c r="H141" s="384">
        <v>128013.94220000002</v>
      </c>
      <c r="I141" s="384">
        <v>104240.94</v>
      </c>
    </row>
    <row r="142" spans="1:9" ht="15" thickBot="1" x14ac:dyDescent="0.4">
      <c r="B142" s="108" t="s">
        <v>160</v>
      </c>
      <c r="C142" s="109"/>
      <c r="D142" s="109"/>
      <c r="E142" s="112">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311" t="s">
        <v>83</v>
      </c>
      <c r="B1" s="1311"/>
      <c r="C1" s="1311"/>
      <c r="D1" s="1311"/>
      <c r="E1" s="1311"/>
      <c r="F1" s="1311"/>
      <c r="G1" s="1311"/>
    </row>
    <row r="4" spans="1:9" ht="29.5" customHeight="1" x14ac:dyDescent="0.35">
      <c r="C4" s="1172" t="str">
        <f>Bud_Yr&amp;" Budget"</f>
        <v>2023 Budget</v>
      </c>
      <c r="D4" s="1173" t="s">
        <v>396</v>
      </c>
      <c r="E4" s="1173" t="str">
        <f>Bud_Yr-1&amp;" Budget"</f>
        <v>2022 Budget</v>
      </c>
      <c r="F4" s="1166" t="str">
        <f>Bud_Yr&amp;" Budget vs             "&amp;Bud_Yr-1&amp;" Budget"</f>
        <v>2023 Budget vs             2022 Budget</v>
      </c>
      <c r="G4" s="1167"/>
    </row>
    <row r="5" spans="1:9" x14ac:dyDescent="0.35">
      <c r="C5" s="1352"/>
      <c r="D5" s="1160"/>
      <c r="E5" s="1353"/>
      <c r="F5" s="536" t="s">
        <v>108</v>
      </c>
      <c r="G5" s="537" t="s">
        <v>109</v>
      </c>
    </row>
    <row r="6" spans="1:9" x14ac:dyDescent="0.35">
      <c r="B6" s="538" t="s">
        <v>313</v>
      </c>
      <c r="C6" s="689">
        <f>+'New Year-Full Year'!P23</f>
        <v>18150</v>
      </c>
      <c r="D6" s="689">
        <f>+E6+1500</f>
        <v>22500</v>
      </c>
      <c r="E6" s="689">
        <f>+'New Year-Full Year'!Q23</f>
        <v>21000</v>
      </c>
      <c r="F6" s="539">
        <f>+C6-E6</f>
        <v>-2850</v>
      </c>
      <c r="G6" s="540">
        <f>IF(E6=0,"NA",(+C6-E6)/E6)</f>
        <v>-0.1357142857142857</v>
      </c>
      <c r="I6" s="570"/>
    </row>
    <row r="7" spans="1:9" x14ac:dyDescent="0.35">
      <c r="B7" s="541" t="s">
        <v>314</v>
      </c>
      <c r="C7" s="264">
        <f>+'New Year-Full Year'!P24</f>
        <v>0</v>
      </c>
      <c r="D7" s="264">
        <f>+E7</f>
        <v>0</v>
      </c>
      <c r="E7" s="264">
        <f>+'New Year-Full Year'!Q24</f>
        <v>0</v>
      </c>
      <c r="F7" s="228">
        <f>+C7-E7</f>
        <v>0</v>
      </c>
      <c r="G7" s="542" t="str">
        <f>IF(E7=0,"NA",(+C7-E7)/E7)</f>
        <v>NA</v>
      </c>
    </row>
    <row r="8" spans="1:9" x14ac:dyDescent="0.35">
      <c r="B8" s="541" t="s">
        <v>315</v>
      </c>
      <c r="C8" s="264">
        <f>+'New Year-Full Year'!P25</f>
        <v>500</v>
      </c>
      <c r="D8" s="264">
        <f>+E8+1000</f>
        <v>1500</v>
      </c>
      <c r="E8" s="264">
        <f>+'New Year-Full Year'!Q25</f>
        <v>500</v>
      </c>
      <c r="F8" s="228">
        <f t="shared" ref="F8:F14" si="0">+C8-E8</f>
        <v>0</v>
      </c>
      <c r="G8" s="542">
        <f t="shared" ref="G8:G14" si="1">IF(E8=0,"NA",(+C8-E8)/E8)</f>
        <v>0</v>
      </c>
    </row>
    <row r="9" spans="1:9" x14ac:dyDescent="0.35">
      <c r="B9" s="541" t="s">
        <v>322</v>
      </c>
      <c r="C9" s="264">
        <f>+'New Year-Full Year'!P26</f>
        <v>1500</v>
      </c>
      <c r="D9" s="264">
        <f>+E9+1000</f>
        <v>2500</v>
      </c>
      <c r="E9" s="264">
        <f>+'New Year-Full Year'!Q26</f>
        <v>1500</v>
      </c>
      <c r="F9" s="228">
        <f t="shared" si="0"/>
        <v>0</v>
      </c>
      <c r="G9" s="542">
        <f t="shared" si="1"/>
        <v>0</v>
      </c>
    </row>
    <row r="10" spans="1:9" x14ac:dyDescent="0.35">
      <c r="B10" s="541" t="s">
        <v>316</v>
      </c>
      <c r="C10" s="264">
        <f>+'New Year-Full Year'!P27</f>
        <v>750</v>
      </c>
      <c r="D10" s="264">
        <f>+E10</f>
        <v>750</v>
      </c>
      <c r="E10" s="264">
        <f>+'New Year-Full Year'!Q27</f>
        <v>750</v>
      </c>
      <c r="F10" s="228">
        <f t="shared" si="0"/>
        <v>0</v>
      </c>
      <c r="G10" s="542">
        <f t="shared" si="1"/>
        <v>0</v>
      </c>
    </row>
    <row r="11" spans="1:9" x14ac:dyDescent="0.35">
      <c r="B11" s="541" t="s">
        <v>317</v>
      </c>
      <c r="C11" s="264">
        <f>+'New Year-Full Year'!P28</f>
        <v>1000</v>
      </c>
      <c r="D11" s="264">
        <f>+E11+1000</f>
        <v>2000</v>
      </c>
      <c r="E11" s="264">
        <f>+'New Year-Full Year'!Q28</f>
        <v>1000</v>
      </c>
      <c r="F11" s="228">
        <f t="shared" si="0"/>
        <v>0</v>
      </c>
      <c r="G11" s="542">
        <f t="shared" si="1"/>
        <v>0</v>
      </c>
    </row>
    <row r="12" spans="1:9" x14ac:dyDescent="0.35">
      <c r="B12" s="541" t="s">
        <v>318</v>
      </c>
      <c r="C12" s="264">
        <f>+'New Year-Full Year'!P29</f>
        <v>1000</v>
      </c>
      <c r="D12" s="264">
        <f>+E12+500</f>
        <v>1500</v>
      </c>
      <c r="E12" s="264">
        <f>+'New Year-Full Year'!Q29</f>
        <v>1000</v>
      </c>
      <c r="F12" s="228">
        <f t="shared" si="0"/>
        <v>0</v>
      </c>
      <c r="G12" s="542">
        <f t="shared" si="1"/>
        <v>0</v>
      </c>
    </row>
    <row r="13" spans="1:9" x14ac:dyDescent="0.35">
      <c r="B13" s="541" t="s">
        <v>319</v>
      </c>
      <c r="C13" s="264">
        <f>+'New Year-Full Year'!P30</f>
        <v>1000</v>
      </c>
      <c r="D13" s="264">
        <f>+E13+1000</f>
        <v>2000</v>
      </c>
      <c r="E13" s="264">
        <f>+'New Year-Full Year'!Q30</f>
        <v>1000</v>
      </c>
      <c r="F13" s="228">
        <f t="shared" si="0"/>
        <v>0</v>
      </c>
      <c r="G13" s="542">
        <f t="shared" si="1"/>
        <v>0</v>
      </c>
    </row>
    <row r="14" spans="1:9" x14ac:dyDescent="0.35">
      <c r="B14" s="541" t="s">
        <v>320</v>
      </c>
      <c r="C14" s="264">
        <f>+'New Year-Full Year'!P31</f>
        <v>1000</v>
      </c>
      <c r="D14" s="264">
        <f>+E14+500</f>
        <v>1500</v>
      </c>
      <c r="E14" s="264">
        <f>+'New Year-Full Year'!Q31</f>
        <v>1000</v>
      </c>
      <c r="F14" s="228">
        <f t="shared" si="0"/>
        <v>0</v>
      </c>
      <c r="G14" s="542">
        <f t="shared" si="1"/>
        <v>0</v>
      </c>
    </row>
    <row r="15" spans="1:9" x14ac:dyDescent="0.35">
      <c r="B15" s="543" t="s">
        <v>162</v>
      </c>
      <c r="C15" s="692">
        <f>+SUM(C6:C14)</f>
        <v>24900</v>
      </c>
      <c r="D15" s="692">
        <f>+SUM(D6:D14)</f>
        <v>34250</v>
      </c>
      <c r="E15" s="692">
        <f>+SUM(E6:E14)</f>
        <v>27750</v>
      </c>
      <c r="F15" s="544">
        <f>+SUM(F6:F14)</f>
        <v>-2850</v>
      </c>
      <c r="G15" s="545"/>
    </row>
  </sheetData>
  <mergeCells count="5">
    <mergeCell ref="C4:C5"/>
    <mergeCell ref="E4:E5"/>
    <mergeCell ref="F4:G4"/>
    <mergeCell ref="A1:G1"/>
    <mergeCell ref="D4: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1" customWidth="1"/>
    <col min="2" max="2" width="39.6328125" style="641" customWidth="1"/>
    <col min="3" max="3" width="15" style="641" hidden="1" customWidth="1"/>
    <col min="4" max="4" width="1.453125" style="668" customWidth="1"/>
    <col min="5" max="6" width="16" style="641" customWidth="1"/>
    <col min="7" max="7" width="1.453125" style="641" customWidth="1"/>
    <col min="8" max="8" width="16.08984375" style="641" customWidth="1"/>
    <col min="9" max="9" width="1.453125" style="641" customWidth="1"/>
    <col min="10" max="10" width="16.08984375" style="641" customWidth="1"/>
    <col min="11" max="16384" width="8.7265625" style="641"/>
  </cols>
  <sheetData>
    <row r="1" spans="1:11" ht="26" x14ac:dyDescent="0.6">
      <c r="B1" s="1356" t="s">
        <v>83</v>
      </c>
      <c r="C1" s="1356"/>
      <c r="D1" s="1356"/>
      <c r="E1" s="1356"/>
      <c r="F1" s="1356"/>
      <c r="G1" s="1356"/>
      <c r="H1" s="1356"/>
      <c r="I1" s="1356"/>
      <c r="J1" s="1356"/>
    </row>
    <row r="2" spans="1:11" x14ac:dyDescent="0.5">
      <c r="D2" s="670"/>
    </row>
    <row r="3" spans="1:11" x14ac:dyDescent="0.5">
      <c r="D3" s="672"/>
      <c r="E3" s="1354">
        <v>2020</v>
      </c>
      <c r="F3" s="1355"/>
      <c r="G3" s="679"/>
      <c r="H3" s="659">
        <v>2021</v>
      </c>
      <c r="I3" s="683"/>
      <c r="J3" s="673"/>
    </row>
    <row r="4" spans="1:11" ht="53" customHeight="1" x14ac:dyDescent="0.5">
      <c r="B4" s="653"/>
      <c r="C4" s="648" t="s">
        <v>393</v>
      </c>
      <c r="D4" s="675"/>
      <c r="E4" s="648" t="s">
        <v>376</v>
      </c>
      <c r="F4" s="648" t="s">
        <v>390</v>
      </c>
      <c r="G4" s="680"/>
      <c r="H4" s="648" t="s">
        <v>391</v>
      </c>
      <c r="I4" s="684"/>
      <c r="J4" s="648" t="s">
        <v>392</v>
      </c>
      <c r="K4" s="653"/>
    </row>
    <row r="5" spans="1:11" x14ac:dyDescent="0.5">
      <c r="B5" s="653" t="s">
        <v>385</v>
      </c>
      <c r="C5" s="669"/>
      <c r="D5" s="665"/>
      <c r="E5" s="646">
        <v>56200</v>
      </c>
      <c r="F5" s="646">
        <f>+'Summary New Year'!J112</f>
        <v>57944.659999999974</v>
      </c>
      <c r="G5" s="651"/>
      <c r="H5" s="646">
        <f>+'New Year-Full Year'!P173</f>
        <v>0</v>
      </c>
      <c r="I5" s="662"/>
      <c r="J5" s="664"/>
      <c r="K5" s="653"/>
    </row>
    <row r="6" spans="1:11" x14ac:dyDescent="0.5">
      <c r="B6" s="653" t="s">
        <v>384</v>
      </c>
      <c r="C6" s="670"/>
      <c r="D6" s="665"/>
      <c r="E6" s="644">
        <v>5000</v>
      </c>
      <c r="F6" s="644"/>
      <c r="G6" s="651"/>
      <c r="H6" s="663"/>
      <c r="I6" s="662"/>
      <c r="J6" s="665"/>
      <c r="K6" s="653"/>
    </row>
    <row r="7" spans="1:11" x14ac:dyDescent="0.5">
      <c r="B7" s="674" t="s">
        <v>387</v>
      </c>
      <c r="C7" s="671"/>
      <c r="D7" s="666"/>
      <c r="E7" s="649">
        <f>+E5-E6</f>
        <v>51200</v>
      </c>
      <c r="F7" s="649">
        <f>+F5-F6</f>
        <v>57944.659999999974</v>
      </c>
      <c r="G7" s="661"/>
      <c r="H7" s="649">
        <f>+H5-H6</f>
        <v>0</v>
      </c>
      <c r="I7" s="666"/>
      <c r="J7" s="666"/>
      <c r="K7" s="653"/>
    </row>
    <row r="8" spans="1:11" x14ac:dyDescent="0.5">
      <c r="B8" s="653"/>
      <c r="D8" s="670"/>
      <c r="G8" s="653"/>
      <c r="I8" s="653"/>
      <c r="K8" s="653"/>
    </row>
    <row r="9" spans="1:11" x14ac:dyDescent="0.5">
      <c r="B9" s="674" t="s">
        <v>377</v>
      </c>
      <c r="D9" s="670"/>
      <c r="G9" s="653"/>
      <c r="I9" s="653"/>
      <c r="K9" s="653"/>
    </row>
    <row r="10" spans="1:11" x14ac:dyDescent="0.5">
      <c r="A10" s="642" t="s">
        <v>378</v>
      </c>
      <c r="B10" s="653" t="s">
        <v>389</v>
      </c>
      <c r="C10" s="646">
        <v>13765.63</v>
      </c>
      <c r="D10" s="676"/>
      <c r="E10" s="645"/>
      <c r="F10" s="650">
        <v>20000</v>
      </c>
      <c r="G10" s="660"/>
      <c r="H10" s="646"/>
      <c r="I10" s="665"/>
      <c r="J10" s="686">
        <f>SUM(C10:H10)</f>
        <v>33765.629999999997</v>
      </c>
      <c r="K10" s="653"/>
    </row>
    <row r="11" spans="1:11" x14ac:dyDescent="0.5">
      <c r="A11" s="642" t="s">
        <v>379</v>
      </c>
      <c r="B11" s="653" t="s">
        <v>382</v>
      </c>
      <c r="C11" s="663">
        <v>29502.66</v>
      </c>
      <c r="D11" s="676"/>
      <c r="E11" s="656">
        <f>+$E$7/2</f>
        <v>25600</v>
      </c>
      <c r="F11" s="652">
        <v>10000</v>
      </c>
      <c r="G11" s="660"/>
      <c r="H11" s="663">
        <f>+'New Year-Full Year'!P160</f>
        <v>0</v>
      </c>
      <c r="I11" s="665"/>
      <c r="J11" s="656">
        <f>SUM(C11:H11)</f>
        <v>65102.66</v>
      </c>
      <c r="K11" s="653"/>
    </row>
    <row r="12" spans="1:11" x14ac:dyDescent="0.5">
      <c r="A12" s="642" t="s">
        <v>380</v>
      </c>
      <c r="B12" s="653" t="s">
        <v>388</v>
      </c>
      <c r="C12" s="663">
        <v>168816.55</v>
      </c>
      <c r="D12" s="677"/>
      <c r="E12" s="657"/>
      <c r="F12" s="654">
        <f>+F7-F10-F11</f>
        <v>27944.659999999974</v>
      </c>
      <c r="G12" s="681"/>
      <c r="H12" s="667"/>
      <c r="I12" s="685"/>
      <c r="J12" s="667">
        <f>SUM(C12:H12)</f>
        <v>196761.20999999996</v>
      </c>
      <c r="K12" s="653"/>
    </row>
    <row r="13" spans="1:11" x14ac:dyDescent="0.5">
      <c r="A13" s="642" t="s">
        <v>381</v>
      </c>
      <c r="B13" s="653" t="s">
        <v>383</v>
      </c>
      <c r="C13" s="644">
        <v>29502.66</v>
      </c>
      <c r="D13" s="647"/>
      <c r="E13" s="658">
        <f>+$E$7/2</f>
        <v>25600</v>
      </c>
      <c r="F13" s="655"/>
      <c r="G13" s="682"/>
      <c r="H13" s="643"/>
      <c r="I13" s="670"/>
      <c r="J13" s="658">
        <f>SUM(C13:H13)</f>
        <v>55102.66</v>
      </c>
      <c r="K13" s="653"/>
    </row>
    <row r="14" spans="1:11" x14ac:dyDescent="0.5">
      <c r="B14" s="674" t="s">
        <v>386</v>
      </c>
      <c r="C14" s="649">
        <f>SUM(C10:C13)</f>
        <v>241587.5</v>
      </c>
      <c r="D14" s="678"/>
      <c r="E14" s="649">
        <f>SUM(E10:E13)</f>
        <v>51200</v>
      </c>
      <c r="F14" s="649">
        <f>SUM(F10:F13)</f>
        <v>57944.659999999974</v>
      </c>
      <c r="G14" s="661"/>
      <c r="H14" s="649">
        <f>SUM(H10:H13)</f>
        <v>0</v>
      </c>
      <c r="I14" s="666"/>
      <c r="J14" s="649">
        <f>SUM(J10:J13)</f>
        <v>350732.16000000003</v>
      </c>
      <c r="K14" s="653"/>
    </row>
  </sheetData>
  <mergeCells count="2">
    <mergeCell ref="E3:F3"/>
    <mergeCell ref="B1:J1"/>
  </mergeCells>
  <pageMargins left="0.7" right="0.7" top="0.75" bottom="0.75" header="0.3" footer="0.3"/>
  <pageSetup orientation="landscape" horizontalDpi="0"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35" customWidth="1"/>
    <col min="2" max="2" width="15.7265625" style="635" customWidth="1"/>
    <col min="3" max="3" width="100.453125" style="635" customWidth="1"/>
    <col min="4" max="16384" width="8.7265625" style="635"/>
  </cols>
  <sheetData>
    <row r="1" spans="1:3" ht="26" x14ac:dyDescent="0.35">
      <c r="A1" s="1357" t="s">
        <v>360</v>
      </c>
      <c r="B1" s="1357"/>
      <c r="C1" s="1357"/>
    </row>
    <row r="3" spans="1:3" ht="42" customHeight="1" x14ac:dyDescent="0.35">
      <c r="A3" s="636" t="s">
        <v>361</v>
      </c>
      <c r="B3" s="638">
        <v>3000</v>
      </c>
      <c r="C3" s="637" t="s">
        <v>372</v>
      </c>
    </row>
    <row r="4" spans="1:3" ht="42" customHeight="1" x14ac:dyDescent="0.35">
      <c r="A4" s="636" t="s">
        <v>362</v>
      </c>
      <c r="B4" s="638">
        <v>4000</v>
      </c>
      <c r="C4" s="637" t="s">
        <v>364</v>
      </c>
    </row>
    <row r="5" spans="1:3" ht="42" customHeight="1" x14ac:dyDescent="0.35">
      <c r="A5" s="636" t="s">
        <v>363</v>
      </c>
      <c r="B5" s="638">
        <v>2759</v>
      </c>
      <c r="C5" s="637" t="s">
        <v>368</v>
      </c>
    </row>
    <row r="6" spans="1:3" ht="42" customHeight="1" x14ac:dyDescent="0.35">
      <c r="A6" s="636" t="s">
        <v>366</v>
      </c>
      <c r="B6" s="638">
        <v>8000</v>
      </c>
      <c r="C6" s="637" t="s">
        <v>365</v>
      </c>
    </row>
    <row r="7" spans="1:3" ht="42" customHeight="1" x14ac:dyDescent="0.35">
      <c r="A7" s="636" t="s">
        <v>367</v>
      </c>
      <c r="B7" s="638">
        <v>8185</v>
      </c>
      <c r="C7" s="637" t="s">
        <v>369</v>
      </c>
    </row>
  </sheetData>
  <mergeCells count="1">
    <mergeCell ref="A1:C1"/>
  </mergeCells>
  <pageMargins left="0.7" right="0.7" top="0.75" bottom="0.75" header="0.3" footer="0.3"/>
  <pageSetup orientation="landscape" horizontalDpi="0"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workbookViewId="0">
      <selection activeCell="R34" sqref="R34"/>
    </sheetView>
  </sheetViews>
  <sheetFormatPr defaultRowHeight="14.5" outlineLevelCol="1" x14ac:dyDescent="0.35"/>
  <cols>
    <col min="1" max="1" width="49.36328125" style="134" customWidth="1"/>
    <col min="2" max="2" width="10.453125" style="134" hidden="1" customWidth="1" outlineLevel="1"/>
    <col min="3" max="3" width="10" style="134" hidden="1" customWidth="1" outlineLevel="1"/>
    <col min="4" max="6" width="8.7265625" style="134" hidden="1" customWidth="1" outlineLevel="1"/>
    <col min="7" max="7" width="13.90625" style="134" hidden="1" customWidth="1" outlineLevel="1" collapsed="1"/>
    <col min="8" max="9" width="13.90625" style="134" hidden="1" customWidth="1" outlineLevel="1"/>
    <col min="10" max="10" width="23.6328125" style="134" hidden="1" customWidth="1" outlineLevel="1"/>
    <col min="11" max="11" width="13.90625" style="134" customWidth="1" collapsed="1"/>
    <col min="12" max="16" width="13.90625" style="134" hidden="1" customWidth="1"/>
    <col min="17" max="18" width="13.90625" style="134" customWidth="1"/>
    <col min="19" max="22" width="13.90625" style="134" hidden="1" customWidth="1"/>
    <col min="23" max="24" width="8.7265625" style="134"/>
    <col min="25" max="25" width="31.54296875" style="134" customWidth="1"/>
    <col min="26" max="16384" width="8.7265625" style="134"/>
  </cols>
  <sheetData>
    <row r="1" spans="1:25" ht="21" x14ac:dyDescent="0.35">
      <c r="A1" s="1218" t="s">
        <v>509</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row>
    <row r="2" spans="1:25" x14ac:dyDescent="0.35">
      <c r="A2" s="1026" t="s">
        <v>663</v>
      </c>
      <c r="K2" s="801"/>
      <c r="L2" s="1362"/>
      <c r="M2" s="1362"/>
      <c r="N2" s="1362"/>
      <c r="O2" s="1362"/>
      <c r="P2" s="1362"/>
      <c r="Q2" s="826"/>
      <c r="R2" s="1362"/>
      <c r="S2" s="1362"/>
      <c r="T2" s="1362"/>
      <c r="U2" s="1362"/>
      <c r="V2" s="1363"/>
    </row>
    <row r="3" spans="1:25" ht="43.5" customHeight="1" x14ac:dyDescent="0.35">
      <c r="A3" s="848" t="s">
        <v>549</v>
      </c>
      <c r="B3" s="1358">
        <v>2018</v>
      </c>
      <c r="C3" s="1359"/>
      <c r="D3" s="1359"/>
      <c r="E3" s="1359"/>
      <c r="F3" s="1360"/>
      <c r="G3" s="406" t="s">
        <v>184</v>
      </c>
      <c r="H3" s="135" t="s">
        <v>201</v>
      </c>
      <c r="I3" s="406" t="s">
        <v>277</v>
      </c>
      <c r="K3" s="818" t="s">
        <v>356</v>
      </c>
      <c r="L3" s="819" t="s">
        <v>349</v>
      </c>
      <c r="M3" s="819" t="s">
        <v>350</v>
      </c>
      <c r="N3" s="820" t="s">
        <v>351</v>
      </c>
      <c r="O3" s="820" t="s">
        <v>352</v>
      </c>
      <c r="P3" s="819" t="s">
        <v>353</v>
      </c>
      <c r="Q3" s="821" t="s">
        <v>445</v>
      </c>
      <c r="R3" s="819" t="s">
        <v>349</v>
      </c>
      <c r="S3" s="576" t="s">
        <v>350</v>
      </c>
      <c r="T3" s="577" t="s">
        <v>351</v>
      </c>
      <c r="U3" s="577" t="s">
        <v>352</v>
      </c>
      <c r="V3" s="576" t="s">
        <v>353</v>
      </c>
      <c r="W3" s="1284" t="str">
        <f>"To Buy Back one week of vacation is $"&amp;ROUND(+Q11/52,2)&amp;"0 per week or $"&amp;ROUND(+Q11/52,0)/5&amp;" Per day."</f>
        <v>To Buy Back one week of vacation is $1509.60 per week or $302 Per day.</v>
      </c>
      <c r="X3" s="1285"/>
      <c r="Y3" s="1285"/>
    </row>
    <row r="4" spans="1:25" ht="14.5" customHeight="1" x14ac:dyDescent="0.35">
      <c r="A4" s="439" t="s">
        <v>38</v>
      </c>
      <c r="B4" s="167">
        <v>52894</v>
      </c>
      <c r="C4" s="121">
        <f>+B7-C6</f>
        <v>46762</v>
      </c>
      <c r="D4" s="121">
        <f>+B7-D6</f>
        <v>46762</v>
      </c>
      <c r="E4" s="121">
        <f>+B4</f>
        <v>52894</v>
      </c>
      <c r="F4" s="131"/>
      <c r="G4" s="168">
        <f>+B7-G6</f>
        <v>46322</v>
      </c>
      <c r="H4" s="168"/>
      <c r="I4" s="168">
        <f>71540-22000</f>
        <v>49540</v>
      </c>
      <c r="K4" s="168">
        <f>+K11-K6</f>
        <v>52510</v>
      </c>
      <c r="L4" s="579">
        <f>+L7-L6</f>
        <v>53618</v>
      </c>
      <c r="M4" s="579">
        <f>+I4*(1+0.02)</f>
        <v>50530.8</v>
      </c>
      <c r="N4" s="579">
        <f>+I4*(1+0.01)</f>
        <v>50035.4</v>
      </c>
      <c r="O4" s="579">
        <f>+I4</f>
        <v>49540</v>
      </c>
      <c r="P4" s="579">
        <f>+I4*(1+0.026)+1110</f>
        <v>51938.04</v>
      </c>
      <c r="Q4" s="137">
        <f>+V4</f>
        <v>56499</v>
      </c>
      <c r="R4" s="579">
        <f>+R7-R6</f>
        <v>58551</v>
      </c>
      <c r="S4" s="579">
        <f>+S7-S6</f>
        <v>54000.2</v>
      </c>
      <c r="T4" s="579">
        <f>+T7-T6</f>
        <v>53255.100000000006</v>
      </c>
      <c r="U4" s="579">
        <f>+U7-U6</f>
        <v>52510</v>
      </c>
      <c r="V4" s="579">
        <f>+V7-V6</f>
        <v>56499</v>
      </c>
      <c r="W4" s="1364" t="str">
        <f>"For 2022, 20 years of experience plus a COLA 5% per ELCA quidelines = "&amp;ROUND((+Q7-K7)/K7,3)*100&amp;"% increase due to vacation purchase."</f>
        <v>For 2022, 20 years of experience plus a COLA 5% per ELCA quidelines = 5.4% increase due to vacation purchase.</v>
      </c>
      <c r="X4" s="1365"/>
      <c r="Y4" s="1365"/>
    </row>
    <row r="5" spans="1:25" ht="8" hidden="1" customHeight="1" x14ac:dyDescent="0.35">
      <c r="A5" s="166"/>
      <c r="B5" s="169">
        <v>0.3</v>
      </c>
      <c r="C5" s="123"/>
      <c r="D5" s="123"/>
      <c r="E5" s="122">
        <v>0.3</v>
      </c>
      <c r="F5" s="170"/>
      <c r="G5" s="171"/>
      <c r="H5" s="171"/>
      <c r="I5" s="171"/>
      <c r="K5" s="171"/>
      <c r="L5" s="580"/>
      <c r="M5" s="580"/>
      <c r="N5" s="580"/>
      <c r="O5" s="580"/>
      <c r="P5" s="580"/>
      <c r="Q5" s="138"/>
      <c r="R5" s="580"/>
      <c r="S5" s="580"/>
      <c r="T5" s="580"/>
      <c r="U5" s="580"/>
      <c r="V5" s="580"/>
      <c r="W5" s="1364"/>
      <c r="X5" s="1365"/>
      <c r="Y5" s="1365"/>
    </row>
    <row r="6" spans="1:25" ht="16.5" customHeight="1" thickBot="1" x14ac:dyDescent="0.4">
      <c r="A6" s="166" t="s">
        <v>161</v>
      </c>
      <c r="B6" s="172">
        <f>ROUND(+B4*B5,0)</f>
        <v>15868</v>
      </c>
      <c r="C6" s="125">
        <v>22000</v>
      </c>
      <c r="D6" s="125">
        <f>+C6</f>
        <v>22000</v>
      </c>
      <c r="E6" s="124">
        <f>ROUND(+E4*E5,0)</f>
        <v>15868</v>
      </c>
      <c r="F6" s="128"/>
      <c r="G6" s="173">
        <v>22440</v>
      </c>
      <c r="H6" s="173"/>
      <c r="I6" s="173">
        <v>22000</v>
      </c>
      <c r="K6" s="173">
        <v>22000</v>
      </c>
      <c r="L6" s="581">
        <v>22000</v>
      </c>
      <c r="M6" s="582">
        <f>+I6*(1+0.02)</f>
        <v>22440</v>
      </c>
      <c r="N6" s="582">
        <f>+I6*(1+0.01)</f>
        <v>22220</v>
      </c>
      <c r="O6" s="582">
        <f>+I6</f>
        <v>22000</v>
      </c>
      <c r="P6" s="582">
        <f>+I6*(1+0.026)</f>
        <v>22572</v>
      </c>
      <c r="Q6" s="139">
        <v>22000</v>
      </c>
      <c r="R6" s="582">
        <f>+$Q6</f>
        <v>22000</v>
      </c>
      <c r="S6" s="582">
        <f>+$Q6</f>
        <v>22000</v>
      </c>
      <c r="T6" s="582">
        <f>+$Q6</f>
        <v>22000</v>
      </c>
      <c r="U6" s="582">
        <f>+$Q6</f>
        <v>22000</v>
      </c>
      <c r="V6" s="582">
        <f>+$Q6</f>
        <v>22000</v>
      </c>
      <c r="W6" s="1364"/>
      <c r="X6" s="1365"/>
      <c r="Y6" s="1365"/>
    </row>
    <row r="7" spans="1:25" ht="14.5" hidden="1" customHeight="1" x14ac:dyDescent="0.35">
      <c r="A7" s="166" t="s">
        <v>162</v>
      </c>
      <c r="B7" s="174">
        <f>+B4+B6</f>
        <v>68762</v>
      </c>
      <c r="C7" s="175">
        <f>+C4+C6</f>
        <v>68762</v>
      </c>
      <c r="D7" s="175">
        <f>+D4+D6</f>
        <v>68762</v>
      </c>
      <c r="E7" s="175">
        <f>+E4+E6</f>
        <v>68762</v>
      </c>
      <c r="F7" s="176"/>
      <c r="G7" s="177">
        <f>+G4+G6</f>
        <v>68762</v>
      </c>
      <c r="H7" s="177"/>
      <c r="I7" s="177">
        <f>+I4+I6</f>
        <v>71540</v>
      </c>
      <c r="K7" s="177">
        <v>74510</v>
      </c>
      <c r="L7" s="618">
        <v>75618</v>
      </c>
      <c r="M7" s="583">
        <f>+M4+M6</f>
        <v>72970.8</v>
      </c>
      <c r="N7" s="583">
        <f>+N4+N6</f>
        <v>72255.399999999994</v>
      </c>
      <c r="O7" s="583">
        <f>+O4+O6</f>
        <v>71540</v>
      </c>
      <c r="P7" s="583">
        <f>+P4+P6</f>
        <v>74510.040000000008</v>
      </c>
      <c r="Q7" s="140">
        <f>+Q4+Q6</f>
        <v>78499</v>
      </c>
      <c r="R7" s="618">
        <v>80551</v>
      </c>
      <c r="S7" s="583">
        <f>+$K7*(1+0.02)</f>
        <v>76000.2</v>
      </c>
      <c r="T7" s="583">
        <f>+$K7*(1+0.01)</f>
        <v>75255.100000000006</v>
      </c>
      <c r="U7" s="583">
        <f>+$K7*(1+0)</f>
        <v>74510</v>
      </c>
      <c r="V7" s="618">
        <f>ROUND(($K7*(1+0.026))+(R7-($K7*(1+0.026)))/2,0)</f>
        <v>78499</v>
      </c>
      <c r="W7" s="816"/>
      <c r="X7" s="817"/>
      <c r="Y7" s="817"/>
    </row>
    <row r="8" spans="1:25" ht="4" hidden="1" customHeight="1" x14ac:dyDescent="0.35">
      <c r="A8" s="178"/>
      <c r="B8" s="178"/>
      <c r="C8" s="179"/>
      <c r="D8" s="179"/>
      <c r="E8" s="179"/>
      <c r="F8" s="180"/>
      <c r="G8" s="171"/>
      <c r="H8" s="171"/>
      <c r="I8" s="171"/>
      <c r="K8" s="171"/>
      <c r="L8" s="580"/>
      <c r="M8" s="580"/>
      <c r="N8" s="580"/>
      <c r="O8" s="580"/>
      <c r="P8" s="580"/>
      <c r="Q8" s="138"/>
      <c r="R8" s="580"/>
      <c r="S8" s="580"/>
      <c r="T8" s="580"/>
      <c r="U8" s="580"/>
      <c r="V8" s="580"/>
      <c r="W8" s="816"/>
      <c r="X8" s="817"/>
      <c r="Y8" s="817"/>
    </row>
    <row r="9" spans="1:25" ht="14.5" hidden="1" customHeight="1" x14ac:dyDescent="0.35">
      <c r="A9" s="166" t="s">
        <v>172</v>
      </c>
      <c r="B9" s="178"/>
      <c r="C9" s="126">
        <f>(23/24)</f>
        <v>0.95833333333333337</v>
      </c>
      <c r="D9" s="126">
        <f>(23/24)</f>
        <v>0.95833333333333337</v>
      </c>
      <c r="E9" s="126">
        <v>1</v>
      </c>
      <c r="F9" s="127">
        <v>1</v>
      </c>
      <c r="G9" s="181">
        <v>1</v>
      </c>
      <c r="H9" s="181"/>
      <c r="I9" s="181">
        <v>1</v>
      </c>
      <c r="K9" s="181">
        <v>1</v>
      </c>
      <c r="L9" s="584">
        <v>1</v>
      </c>
      <c r="M9" s="584">
        <v>1</v>
      </c>
      <c r="N9" s="584">
        <v>1</v>
      </c>
      <c r="O9" s="584">
        <v>1</v>
      </c>
      <c r="P9" s="584">
        <v>1</v>
      </c>
      <c r="Q9" s="132">
        <v>1</v>
      </c>
      <c r="R9" s="584">
        <v>1</v>
      </c>
      <c r="S9" s="584">
        <v>1</v>
      </c>
      <c r="T9" s="584">
        <v>1</v>
      </c>
      <c r="U9" s="584">
        <v>1</v>
      </c>
      <c r="V9" s="584">
        <v>1</v>
      </c>
      <c r="W9" s="816"/>
      <c r="X9" s="817"/>
      <c r="Y9" s="817"/>
    </row>
    <row r="10" spans="1:25" ht="6.5" hidden="1" customHeight="1" x14ac:dyDescent="0.35">
      <c r="A10" s="178"/>
      <c r="B10" s="178"/>
      <c r="C10" s="179"/>
      <c r="D10" s="179"/>
      <c r="E10" s="179"/>
      <c r="F10" s="180"/>
      <c r="G10" s="171"/>
      <c r="H10" s="171"/>
      <c r="I10" s="171"/>
      <c r="K10" s="171"/>
      <c r="L10" s="580"/>
      <c r="M10" s="580"/>
      <c r="N10" s="580"/>
      <c r="O10" s="580"/>
      <c r="P10" s="580"/>
      <c r="Q10" s="138"/>
      <c r="R10" s="580"/>
      <c r="S10" s="580"/>
      <c r="T10" s="580"/>
      <c r="U10" s="580"/>
      <c r="V10" s="580"/>
      <c r="W10" s="816"/>
      <c r="X10" s="817"/>
      <c r="Y10" s="817"/>
    </row>
    <row r="11" spans="1:25" ht="14.5" hidden="1" customHeight="1" x14ac:dyDescent="0.35">
      <c r="A11" s="185" t="s">
        <v>183</v>
      </c>
      <c r="B11" s="186"/>
      <c r="C11" s="187">
        <f>+C7*C9</f>
        <v>65896.916666666672</v>
      </c>
      <c r="D11" s="187">
        <f>+D7*D9</f>
        <v>65896.916666666672</v>
      </c>
      <c r="E11" s="187">
        <f>+E7*E9</f>
        <v>68762</v>
      </c>
      <c r="F11" s="188">
        <f>+C7*F9</f>
        <v>68762</v>
      </c>
      <c r="G11" s="407">
        <f>ROUND(+G7*(1+G12),0)</f>
        <v>70137</v>
      </c>
      <c r="H11" s="189"/>
      <c r="I11" s="407">
        <f>ROUND(+I7*I9,0)</f>
        <v>71540</v>
      </c>
      <c r="K11" s="560">
        <f t="shared" ref="K11:V11" si="0">ROUND(+K7*K9,0)</f>
        <v>74510</v>
      </c>
      <c r="L11" s="587">
        <f t="shared" si="0"/>
        <v>75618</v>
      </c>
      <c r="M11" s="587">
        <f t="shared" si="0"/>
        <v>72971</v>
      </c>
      <c r="N11" s="587">
        <f t="shared" si="0"/>
        <v>72255</v>
      </c>
      <c r="O11" s="587">
        <f t="shared" si="0"/>
        <v>71540</v>
      </c>
      <c r="P11" s="587">
        <f t="shared" si="0"/>
        <v>74510</v>
      </c>
      <c r="Q11" s="142">
        <f t="shared" si="0"/>
        <v>78499</v>
      </c>
      <c r="R11" s="587">
        <f t="shared" si="0"/>
        <v>80551</v>
      </c>
      <c r="S11" s="587">
        <f t="shared" si="0"/>
        <v>76000</v>
      </c>
      <c r="T11" s="587">
        <f t="shared" si="0"/>
        <v>75255</v>
      </c>
      <c r="U11" s="587">
        <f t="shared" si="0"/>
        <v>74510</v>
      </c>
      <c r="V11" s="587">
        <f t="shared" si="0"/>
        <v>78499</v>
      </c>
      <c r="W11" s="816"/>
      <c r="X11" s="817"/>
      <c r="Y11" s="817"/>
    </row>
    <row r="12" spans="1:25" ht="15" hidden="1" thickBot="1" x14ac:dyDescent="0.4">
      <c r="A12" s="166" t="s">
        <v>510</v>
      </c>
      <c r="B12" s="178"/>
      <c r="C12" s="182">
        <v>0</v>
      </c>
      <c r="D12" s="182">
        <v>0</v>
      </c>
      <c r="E12" s="182">
        <v>0</v>
      </c>
      <c r="F12" s="183">
        <v>0</v>
      </c>
      <c r="G12" s="415">
        <v>0.02</v>
      </c>
      <c r="H12" s="184"/>
      <c r="I12" s="620">
        <f>+I11/G11-1</f>
        <v>2.0003707030525897E-2</v>
      </c>
      <c r="K12" s="620">
        <f>+K11/I11-1</f>
        <v>4.1515236231478791E-2</v>
      </c>
      <c r="L12" s="585">
        <f>+L11/O11-1</f>
        <v>5.7003075202683773E-2</v>
      </c>
      <c r="M12" s="585">
        <f>+M11/O11-1</f>
        <v>2.0002795638803361E-2</v>
      </c>
      <c r="N12" s="585">
        <f>+N11/O11-1</f>
        <v>9.9944087223931E-3</v>
      </c>
      <c r="O12" s="586">
        <v>0</v>
      </c>
      <c r="P12" s="585">
        <f>+P11/O11-1</f>
        <v>4.1515236231478791E-2</v>
      </c>
      <c r="Q12" s="444">
        <f>+Q11/K11-1</f>
        <v>5.3536438062005143E-2</v>
      </c>
      <c r="R12" s="585">
        <f>+R11/$K11-1</f>
        <v>8.1076365588511612E-2</v>
      </c>
      <c r="S12" s="585">
        <f>+S11/$K11-1</f>
        <v>1.9997315796537407E-2</v>
      </c>
      <c r="T12" s="585">
        <f>+T11/$K11-1</f>
        <v>9.9986578982687035E-3</v>
      </c>
      <c r="U12" s="585">
        <f>+U11/$K11-1</f>
        <v>0</v>
      </c>
      <c r="V12" s="585">
        <f>+V11/$K11-1</f>
        <v>5.3536438062005143E-2</v>
      </c>
      <c r="W12" s="816"/>
      <c r="X12" s="817"/>
      <c r="Y12" s="817"/>
    </row>
    <row r="13" spans="1:25" ht="15" hidden="1" customHeight="1" x14ac:dyDescent="0.35">
      <c r="A13" s="1269" t="s">
        <v>492</v>
      </c>
      <c r="B13" s="178"/>
      <c r="C13" s="179"/>
      <c r="D13" s="179"/>
      <c r="E13" s="179"/>
      <c r="F13" s="180"/>
      <c r="G13" s="171"/>
      <c r="H13" s="171"/>
      <c r="I13" s="171"/>
      <c r="K13" s="171"/>
      <c r="L13" s="580"/>
      <c r="M13" s="580"/>
      <c r="N13" s="580"/>
      <c r="O13" s="580"/>
      <c r="P13" s="580"/>
      <c r="Q13" s="138"/>
      <c r="R13" s="580"/>
      <c r="S13" s="580"/>
      <c r="T13" s="580"/>
      <c r="U13" s="580"/>
      <c r="V13" s="580"/>
      <c r="W13" s="827"/>
      <c r="X13" s="828"/>
      <c r="Y13" s="828"/>
    </row>
    <row r="14" spans="1:25" ht="14.5" hidden="1" customHeight="1" x14ac:dyDescent="0.35">
      <c r="A14" s="1269"/>
      <c r="B14" s="178"/>
      <c r="C14" s="121">
        <f>+C28</f>
        <v>0</v>
      </c>
      <c r="D14" s="121">
        <f>+D28</f>
        <v>0</v>
      </c>
      <c r="E14" s="121">
        <f>+E28</f>
        <v>8015</v>
      </c>
      <c r="F14" s="131">
        <f>+F28</f>
        <v>0</v>
      </c>
      <c r="G14" s="190">
        <f>+G30</f>
        <v>2600</v>
      </c>
      <c r="H14" s="190"/>
      <c r="I14" s="190">
        <f>+I30</f>
        <v>3467</v>
      </c>
      <c r="K14" s="190">
        <f t="shared" ref="K14:V14" si="1">+K30</f>
        <v>0</v>
      </c>
      <c r="L14" s="588">
        <f t="shared" si="1"/>
        <v>0</v>
      </c>
      <c r="M14" s="588">
        <f t="shared" si="1"/>
        <v>3467</v>
      </c>
      <c r="N14" s="588">
        <f t="shared" si="1"/>
        <v>3467</v>
      </c>
      <c r="O14" s="588">
        <f t="shared" si="1"/>
        <v>3467</v>
      </c>
      <c r="P14" s="588">
        <f t="shared" si="1"/>
        <v>3467</v>
      </c>
      <c r="Q14" s="133">
        <f t="shared" si="1"/>
        <v>0</v>
      </c>
      <c r="R14" s="588">
        <f t="shared" si="1"/>
        <v>0</v>
      </c>
      <c r="S14" s="588">
        <f t="shared" si="1"/>
        <v>0</v>
      </c>
      <c r="T14" s="588">
        <f t="shared" si="1"/>
        <v>0</v>
      </c>
      <c r="U14" s="588">
        <f t="shared" si="1"/>
        <v>0</v>
      </c>
      <c r="V14" s="588">
        <f t="shared" si="1"/>
        <v>0</v>
      </c>
      <c r="W14" s="827"/>
      <c r="X14" s="828"/>
      <c r="Y14" s="828"/>
    </row>
    <row r="15" spans="1:25" ht="8" hidden="1" customHeight="1" thickBot="1" x14ac:dyDescent="0.4">
      <c r="A15" s="191"/>
      <c r="B15" s="178"/>
      <c r="C15" s="179"/>
      <c r="D15" s="179"/>
      <c r="E15" s="179"/>
      <c r="F15" s="180"/>
      <c r="G15" s="171"/>
      <c r="H15" s="171"/>
      <c r="I15" s="171"/>
      <c r="K15" s="171"/>
      <c r="L15" s="580"/>
      <c r="M15" s="580"/>
      <c r="N15" s="580"/>
      <c r="O15" s="580"/>
      <c r="P15" s="580"/>
      <c r="Q15" s="138"/>
      <c r="R15" s="580"/>
      <c r="S15" s="580"/>
      <c r="T15" s="580"/>
      <c r="U15" s="580"/>
      <c r="V15" s="580"/>
      <c r="W15" s="800"/>
      <c r="X15" s="800"/>
      <c r="Y15" s="800"/>
    </row>
    <row r="16" spans="1:25" ht="14.5" customHeight="1" x14ac:dyDescent="0.35">
      <c r="A16" s="185" t="s">
        <v>183</v>
      </c>
      <c r="B16" s="186"/>
      <c r="C16" s="187">
        <f>+C11+C14</f>
        <v>65896.916666666672</v>
      </c>
      <c r="D16" s="187">
        <f>+D11+D14</f>
        <v>65896.916666666672</v>
      </c>
      <c r="E16" s="187">
        <f>+E11+E14</f>
        <v>76777</v>
      </c>
      <c r="F16" s="188">
        <f>+F11+F14</f>
        <v>68762</v>
      </c>
      <c r="G16" s="407">
        <f>+G11+G14</f>
        <v>72737</v>
      </c>
      <c r="H16" s="189">
        <f>50297+22440</f>
        <v>72737</v>
      </c>
      <c r="I16" s="407">
        <f>+I11+I14</f>
        <v>75007</v>
      </c>
      <c r="K16" s="407">
        <f t="shared" ref="K16:V16" si="2">+K11+K14</f>
        <v>74510</v>
      </c>
      <c r="L16" s="587">
        <f t="shared" si="2"/>
        <v>75618</v>
      </c>
      <c r="M16" s="587">
        <f t="shared" si="2"/>
        <v>76438</v>
      </c>
      <c r="N16" s="587">
        <f t="shared" si="2"/>
        <v>75722</v>
      </c>
      <c r="O16" s="587">
        <f t="shared" si="2"/>
        <v>75007</v>
      </c>
      <c r="P16" s="587">
        <f t="shared" si="2"/>
        <v>77977</v>
      </c>
      <c r="Q16" s="142">
        <f t="shared" si="2"/>
        <v>78499</v>
      </c>
      <c r="R16" s="587">
        <f t="shared" si="2"/>
        <v>80551</v>
      </c>
      <c r="S16" s="587">
        <f t="shared" si="2"/>
        <v>76000</v>
      </c>
      <c r="T16" s="587">
        <f t="shared" si="2"/>
        <v>75255</v>
      </c>
      <c r="U16" s="587">
        <f t="shared" si="2"/>
        <v>74510</v>
      </c>
      <c r="V16" s="875">
        <f t="shared" si="2"/>
        <v>78499</v>
      </c>
      <c r="W16" s="1366"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1367"/>
      <c r="Y16" s="1368"/>
    </row>
    <row r="17" spans="1:25" x14ac:dyDescent="0.35">
      <c r="A17" s="178" t="s">
        <v>533</v>
      </c>
      <c r="B17" s="178"/>
      <c r="C17" s="129">
        <v>7.6499999999999999E-2</v>
      </c>
      <c r="D17" s="129">
        <v>7.6499999999999999E-2</v>
      </c>
      <c r="E17" s="129">
        <v>7.6499999999999999E-2</v>
      </c>
      <c r="F17" s="130">
        <v>7.6499999999999999E-2</v>
      </c>
      <c r="G17" s="192">
        <v>7.6499999999999999E-2</v>
      </c>
      <c r="H17" s="192">
        <v>7.6499999999999999E-2</v>
      </c>
      <c r="I17" s="192">
        <v>7.6499999999999999E-2</v>
      </c>
      <c r="K17" s="445">
        <v>7.6499999999999999E-2</v>
      </c>
      <c r="L17" s="589">
        <v>7.6499999999999999E-2</v>
      </c>
      <c r="M17" s="589">
        <v>7.6499999999999999E-2</v>
      </c>
      <c r="N17" s="589">
        <v>7.6499999999999999E-2</v>
      </c>
      <c r="O17" s="589">
        <v>7.6499999999999999E-2</v>
      </c>
      <c r="P17" s="589">
        <v>7.6499999999999999E-2</v>
      </c>
      <c r="Q17" s="628">
        <v>7.6499999999999999E-2</v>
      </c>
      <c r="R17" s="786">
        <f>+$Q17</f>
        <v>7.6499999999999999E-2</v>
      </c>
      <c r="S17" s="787">
        <f>+$Q17</f>
        <v>7.6499999999999999E-2</v>
      </c>
      <c r="T17" s="787">
        <f>+$Q17</f>
        <v>7.6499999999999999E-2</v>
      </c>
      <c r="U17" s="787">
        <f>+$Q17</f>
        <v>7.6499999999999999E-2</v>
      </c>
      <c r="V17" s="878">
        <f>+$Q17</f>
        <v>7.6499999999999999E-2</v>
      </c>
      <c r="W17" s="1369"/>
      <c r="X17" s="1370"/>
      <c r="Y17" s="1371"/>
    </row>
    <row r="18" spans="1:25" x14ac:dyDescent="0.35">
      <c r="A18" s="178" t="s">
        <v>287</v>
      </c>
      <c r="B18" s="178"/>
      <c r="C18" s="121">
        <f t="shared" ref="C18:H18" si="3">+C16*C17</f>
        <v>5041.1141250000001</v>
      </c>
      <c r="D18" s="121">
        <f t="shared" si="3"/>
        <v>5041.1141250000001</v>
      </c>
      <c r="E18" s="121">
        <f t="shared" si="3"/>
        <v>5873.4404999999997</v>
      </c>
      <c r="F18" s="131">
        <f t="shared" si="3"/>
        <v>5260.2929999999997</v>
      </c>
      <c r="G18" s="190">
        <f t="shared" si="3"/>
        <v>5564.3805000000002</v>
      </c>
      <c r="H18" s="190">
        <f t="shared" si="3"/>
        <v>5564.3805000000002</v>
      </c>
      <c r="I18" s="190">
        <f>ROUND(+I16*I17,0)</f>
        <v>5738</v>
      </c>
      <c r="J18" s="141"/>
      <c r="K18" s="190">
        <f t="shared" ref="K18:V18" si="4">ROUND(+K16*K17,0)</f>
        <v>5700</v>
      </c>
      <c r="L18" s="588">
        <f t="shared" si="4"/>
        <v>5785</v>
      </c>
      <c r="M18" s="588">
        <f t="shared" si="4"/>
        <v>5848</v>
      </c>
      <c r="N18" s="588">
        <f t="shared" si="4"/>
        <v>5793</v>
      </c>
      <c r="O18" s="588">
        <f t="shared" si="4"/>
        <v>5738</v>
      </c>
      <c r="P18" s="588">
        <f t="shared" si="4"/>
        <v>5965</v>
      </c>
      <c r="Q18" s="133">
        <f t="shared" si="4"/>
        <v>6005</v>
      </c>
      <c r="R18" s="588">
        <f t="shared" si="4"/>
        <v>6162</v>
      </c>
      <c r="S18" s="588">
        <f t="shared" si="4"/>
        <v>5814</v>
      </c>
      <c r="T18" s="588">
        <f t="shared" si="4"/>
        <v>5757</v>
      </c>
      <c r="U18" s="588">
        <f t="shared" si="4"/>
        <v>5700</v>
      </c>
      <c r="V18" s="873">
        <f t="shared" si="4"/>
        <v>6005</v>
      </c>
      <c r="W18" s="1369"/>
      <c r="X18" s="1370"/>
      <c r="Y18" s="1371"/>
    </row>
    <row r="19" spans="1:25" ht="15" thickBot="1" x14ac:dyDescent="0.4">
      <c r="A19" s="193" t="s">
        <v>185</v>
      </c>
      <c r="B19" s="194"/>
      <c r="C19" s="195">
        <f t="shared" ref="C19:I19" si="5">+C16+C18</f>
        <v>70938.030791666679</v>
      </c>
      <c r="D19" s="195">
        <f t="shared" si="5"/>
        <v>70938.030791666679</v>
      </c>
      <c r="E19" s="195">
        <f t="shared" si="5"/>
        <v>82650.440499999997</v>
      </c>
      <c r="F19" s="196">
        <f t="shared" si="5"/>
        <v>74022.293000000005</v>
      </c>
      <c r="G19" s="197">
        <f t="shared" si="5"/>
        <v>78301.380499999999</v>
      </c>
      <c r="H19" s="197">
        <f t="shared" si="5"/>
        <v>78301.380499999999</v>
      </c>
      <c r="I19" s="197">
        <f t="shared" si="5"/>
        <v>80745</v>
      </c>
      <c r="K19" s="197">
        <f t="shared" ref="K19:V19" si="6">+K16+K18</f>
        <v>80210</v>
      </c>
      <c r="L19" s="590">
        <f t="shared" si="6"/>
        <v>81403</v>
      </c>
      <c r="M19" s="590">
        <f t="shared" si="6"/>
        <v>82286</v>
      </c>
      <c r="N19" s="590">
        <f t="shared" si="6"/>
        <v>81515</v>
      </c>
      <c r="O19" s="590">
        <f t="shared" si="6"/>
        <v>80745</v>
      </c>
      <c r="P19" s="590">
        <f t="shared" si="6"/>
        <v>83942</v>
      </c>
      <c r="Q19" s="144">
        <f t="shared" si="6"/>
        <v>84504</v>
      </c>
      <c r="R19" s="590">
        <f t="shared" si="6"/>
        <v>86713</v>
      </c>
      <c r="S19" s="590">
        <f t="shared" si="6"/>
        <v>81814</v>
      </c>
      <c r="T19" s="590">
        <f t="shared" si="6"/>
        <v>81012</v>
      </c>
      <c r="U19" s="590">
        <f t="shared" si="6"/>
        <v>80210</v>
      </c>
      <c r="V19" s="877">
        <f t="shared" si="6"/>
        <v>84504</v>
      </c>
      <c r="W19" s="1372"/>
      <c r="X19" s="1373"/>
      <c r="Y19" s="1374"/>
    </row>
    <row r="20" spans="1:25" x14ac:dyDescent="0.35">
      <c r="A20" s="198"/>
      <c r="B20" s="198"/>
      <c r="C20" s="198"/>
      <c r="D20" s="198"/>
      <c r="E20" s="198"/>
      <c r="F20" s="198"/>
      <c r="G20" s="198"/>
      <c r="H20" s="198"/>
      <c r="I20" s="198"/>
      <c r="K20" s="198"/>
      <c r="L20" s="198"/>
      <c r="M20" s="198"/>
      <c r="N20" s="198"/>
      <c r="O20" s="198"/>
      <c r="P20" s="198"/>
      <c r="Q20" s="198"/>
      <c r="R20" s="198"/>
      <c r="S20" s="198"/>
      <c r="T20" s="198"/>
      <c r="U20" s="198"/>
      <c r="V20" s="198"/>
      <c r="W20" s="881"/>
      <c r="X20" s="881"/>
      <c r="Y20" s="881"/>
    </row>
    <row r="21" spans="1:25" x14ac:dyDescent="0.35">
      <c r="A21" s="199" t="s">
        <v>190</v>
      </c>
      <c r="B21" s="164"/>
      <c r="C21" s="200"/>
      <c r="D21" s="200"/>
      <c r="E21" s="200"/>
      <c r="F21" s="201"/>
      <c r="G21" s="165"/>
      <c r="H21" s="201"/>
      <c r="I21" s="165"/>
      <c r="K21" s="165"/>
      <c r="L21" s="578"/>
      <c r="M21" s="591"/>
      <c r="N21" s="591"/>
      <c r="O21" s="591"/>
      <c r="P21" s="591"/>
      <c r="Q21" s="136"/>
      <c r="R21" s="578"/>
      <c r="S21" s="591"/>
      <c r="T21" s="591"/>
      <c r="U21" s="591"/>
      <c r="V21" s="879"/>
      <c r="W21" s="881"/>
      <c r="X21" s="881"/>
      <c r="Y21" s="881"/>
    </row>
    <row r="22" spans="1:25" x14ac:dyDescent="0.35">
      <c r="A22" s="178" t="s">
        <v>186</v>
      </c>
      <c r="B22" s="178"/>
      <c r="C22" s="121">
        <f>6011.15*C9</f>
        <v>5760.6854166666662</v>
      </c>
      <c r="D22" s="121"/>
      <c r="E22" s="121">
        <f>6011.15*E9</f>
        <v>6011.15</v>
      </c>
      <c r="F22" s="131">
        <f>6011.15</f>
        <v>6011.15</v>
      </c>
      <c r="G22" s="412">
        <v>4973</v>
      </c>
      <c r="H22" s="128"/>
      <c r="I22" s="412">
        <v>5121</v>
      </c>
      <c r="J22" s="558"/>
      <c r="K22" s="412">
        <v>5121</v>
      </c>
      <c r="L22" s="592">
        <v>5121</v>
      </c>
      <c r="M22" s="593">
        <v>5121</v>
      </c>
      <c r="N22" s="593">
        <v>5121</v>
      </c>
      <c r="O22" s="593">
        <v>5121</v>
      </c>
      <c r="P22" s="593">
        <v>5121</v>
      </c>
      <c r="Q22" s="627">
        <v>5385</v>
      </c>
      <c r="R22" s="588">
        <f>+$Q22</f>
        <v>5385</v>
      </c>
      <c r="S22" s="588">
        <f t="shared" ref="S22:V23" si="7">+$Q22</f>
        <v>5385</v>
      </c>
      <c r="T22" s="588">
        <f t="shared" si="7"/>
        <v>5385</v>
      </c>
      <c r="U22" s="588">
        <f t="shared" si="7"/>
        <v>5385</v>
      </c>
      <c r="V22" s="588">
        <f t="shared" si="7"/>
        <v>5385</v>
      </c>
      <c r="W22" s="134" t="s">
        <v>459</v>
      </c>
    </row>
    <row r="23" spans="1:25" x14ac:dyDescent="0.35">
      <c r="A23" s="178" t="s">
        <v>208</v>
      </c>
      <c r="B23" s="178"/>
      <c r="C23" s="120">
        <v>0</v>
      </c>
      <c r="D23" s="120">
        <v>0</v>
      </c>
      <c r="E23" s="120">
        <v>0</v>
      </c>
      <c r="F23" s="128">
        <v>0</v>
      </c>
      <c r="G23" s="412">
        <v>2600</v>
      </c>
      <c r="H23" s="128"/>
      <c r="I23" s="412">
        <v>2600</v>
      </c>
      <c r="J23" s="141"/>
      <c r="K23" s="412">
        <v>2600</v>
      </c>
      <c r="L23" s="592">
        <v>2600</v>
      </c>
      <c r="M23" s="593">
        <v>2600</v>
      </c>
      <c r="N23" s="593">
        <v>2600</v>
      </c>
      <c r="O23" s="593">
        <v>2600</v>
      </c>
      <c r="P23" s="593">
        <v>2600</v>
      </c>
      <c r="Q23" s="627">
        <v>4420</v>
      </c>
      <c r="R23" s="588">
        <f>+$Q23</f>
        <v>4420</v>
      </c>
      <c r="S23" s="588">
        <f t="shared" si="7"/>
        <v>4420</v>
      </c>
      <c r="T23" s="588">
        <f t="shared" si="7"/>
        <v>4420</v>
      </c>
      <c r="U23" s="588">
        <f t="shared" si="7"/>
        <v>4420</v>
      </c>
      <c r="V23" s="588">
        <f t="shared" si="7"/>
        <v>4420</v>
      </c>
      <c r="W23" s="134" t="s">
        <v>459</v>
      </c>
    </row>
    <row r="24" spans="1:25" ht="14.5" hidden="1" customHeight="1" x14ac:dyDescent="0.35">
      <c r="A24" s="178" t="s">
        <v>209</v>
      </c>
      <c r="B24" s="178"/>
      <c r="C24" s="121">
        <f>+C22+C23</f>
        <v>5760.6854166666662</v>
      </c>
      <c r="D24" s="121">
        <f>+D22+D23</f>
        <v>0</v>
      </c>
      <c r="E24" s="121">
        <f>+E22+E23</f>
        <v>6011.15</v>
      </c>
      <c r="F24" s="131">
        <f>+F22+F23</f>
        <v>6011.15</v>
      </c>
      <c r="G24" s="190">
        <f>+G22+G23</f>
        <v>7573</v>
      </c>
      <c r="H24" s="128"/>
      <c r="I24" s="190">
        <f>+I22+I23</f>
        <v>7721</v>
      </c>
      <c r="J24" s="1361" t="s">
        <v>298</v>
      </c>
      <c r="K24" s="190">
        <f t="shared" ref="K24:V24" si="8">+K22+K23</f>
        <v>7721</v>
      </c>
      <c r="L24" s="588">
        <f t="shared" si="8"/>
        <v>7721</v>
      </c>
      <c r="M24" s="594">
        <f t="shared" si="8"/>
        <v>7721</v>
      </c>
      <c r="N24" s="594">
        <f t="shared" si="8"/>
        <v>7721</v>
      </c>
      <c r="O24" s="594">
        <f t="shared" si="8"/>
        <v>7721</v>
      </c>
      <c r="P24" s="594">
        <f t="shared" si="8"/>
        <v>7721</v>
      </c>
      <c r="Q24" s="133">
        <f t="shared" si="8"/>
        <v>9805</v>
      </c>
      <c r="R24" s="588">
        <f t="shared" si="8"/>
        <v>9805</v>
      </c>
      <c r="S24" s="594">
        <f t="shared" si="8"/>
        <v>9805</v>
      </c>
      <c r="T24" s="594">
        <f t="shared" si="8"/>
        <v>9805</v>
      </c>
      <c r="U24" s="594">
        <f t="shared" si="8"/>
        <v>9805</v>
      </c>
      <c r="V24" s="594">
        <f t="shared" si="8"/>
        <v>9805</v>
      </c>
    </row>
    <row r="25" spans="1:25" ht="5" hidden="1" customHeight="1" x14ac:dyDescent="0.35">
      <c r="A25" s="178"/>
      <c r="B25" s="178"/>
      <c r="C25" s="129">
        <v>0.25</v>
      </c>
      <c r="D25" s="129"/>
      <c r="E25" s="129">
        <v>0.25</v>
      </c>
      <c r="F25" s="130">
        <v>0.25</v>
      </c>
      <c r="G25" s="445">
        <v>0.25</v>
      </c>
      <c r="H25" s="130"/>
      <c r="I25" s="445"/>
      <c r="J25" s="1361"/>
      <c r="K25" s="445"/>
      <c r="L25" s="595"/>
      <c r="M25" s="596"/>
      <c r="N25" s="596"/>
      <c r="O25" s="596"/>
      <c r="P25" s="596"/>
      <c r="Q25" s="628"/>
      <c r="R25" s="595"/>
      <c r="S25" s="596"/>
      <c r="T25" s="596"/>
      <c r="U25" s="596"/>
      <c r="V25" s="596"/>
    </row>
    <row r="26" spans="1:25" hidden="1" x14ac:dyDescent="0.35">
      <c r="A26" s="186" t="s">
        <v>188</v>
      </c>
      <c r="B26" s="186"/>
      <c r="C26" s="202">
        <f>ROUND(+C24/(1-C25),0)</f>
        <v>7681</v>
      </c>
      <c r="D26" s="203">
        <v>8015</v>
      </c>
      <c r="E26" s="202">
        <f>ROUND(+E24/(1-E25),0)</f>
        <v>8015</v>
      </c>
      <c r="F26" s="202">
        <f>ROUND(+F24/(1-F25),0)</f>
        <v>8015</v>
      </c>
      <c r="G26" s="413">
        <f>ROUND(+G24/(1-G25),0)</f>
        <v>10097</v>
      </c>
      <c r="H26" s="204"/>
      <c r="I26" s="413">
        <f>+I24</f>
        <v>7721</v>
      </c>
      <c r="J26" s="1361"/>
      <c r="K26" s="413">
        <f>+K22+K23</f>
        <v>7721</v>
      </c>
      <c r="L26" s="597">
        <f>+L24</f>
        <v>7721</v>
      </c>
      <c r="M26" s="598">
        <f>+M24</f>
        <v>7721</v>
      </c>
      <c r="N26" s="598">
        <f>+N24</f>
        <v>7721</v>
      </c>
      <c r="O26" s="598">
        <f>+O24</f>
        <v>7721</v>
      </c>
      <c r="P26" s="598">
        <f>+P24</f>
        <v>7721</v>
      </c>
      <c r="Q26" s="629">
        <f>+Q22+Q23</f>
        <v>9805</v>
      </c>
      <c r="R26" s="597">
        <f>+R24</f>
        <v>9805</v>
      </c>
      <c r="S26" s="598">
        <f>+S24</f>
        <v>9805</v>
      </c>
      <c r="T26" s="598">
        <f>+T24</f>
        <v>9805</v>
      </c>
      <c r="U26" s="598">
        <f>+U24</f>
        <v>9805</v>
      </c>
      <c r="V26" s="598">
        <f>+V24</f>
        <v>9805</v>
      </c>
      <c r="W26" s="134" t="s">
        <v>532</v>
      </c>
    </row>
    <row r="27" spans="1:25" ht="3.5" hidden="1" customHeight="1" x14ac:dyDescent="0.35">
      <c r="A27" s="178"/>
      <c r="B27" s="178"/>
      <c r="C27" s="121"/>
      <c r="D27" s="121"/>
      <c r="E27" s="121"/>
      <c r="F27" s="180"/>
      <c r="G27" s="171"/>
      <c r="H27" s="180"/>
      <c r="I27" s="171"/>
      <c r="J27" s="1361"/>
      <c r="K27" s="171"/>
      <c r="L27" s="580"/>
      <c r="M27" s="599"/>
      <c r="N27" s="599"/>
      <c r="O27" s="599"/>
      <c r="P27" s="599"/>
      <c r="Q27" s="138"/>
      <c r="R27" s="580"/>
      <c r="S27" s="599"/>
      <c r="T27" s="599"/>
      <c r="U27" s="599"/>
      <c r="V27" s="599"/>
    </row>
    <row r="28" spans="1:25" hidden="1" x14ac:dyDescent="0.35">
      <c r="A28" s="178" t="s">
        <v>299</v>
      </c>
      <c r="B28" s="178"/>
      <c r="C28" s="120">
        <v>0</v>
      </c>
      <c r="D28" s="120">
        <v>0</v>
      </c>
      <c r="E28" s="120">
        <v>8015</v>
      </c>
      <c r="F28" s="128">
        <v>0</v>
      </c>
      <c r="G28" s="412"/>
      <c r="H28" s="128"/>
      <c r="I28" s="412">
        <v>2600</v>
      </c>
      <c r="J28" s="1361"/>
      <c r="K28" s="412">
        <v>0</v>
      </c>
      <c r="L28" s="592">
        <v>0</v>
      </c>
      <c r="M28" s="593">
        <v>2600</v>
      </c>
      <c r="N28" s="593">
        <v>2600</v>
      </c>
      <c r="O28" s="593">
        <v>2600</v>
      </c>
      <c r="P28" s="593">
        <v>2600</v>
      </c>
      <c r="Q28" s="627">
        <v>0</v>
      </c>
      <c r="R28" s="588">
        <f t="shared" ref="R28:V29" si="9">+$Q28</f>
        <v>0</v>
      </c>
      <c r="S28" s="588">
        <f t="shared" si="9"/>
        <v>0</v>
      </c>
      <c r="T28" s="588">
        <f t="shared" si="9"/>
        <v>0</v>
      </c>
      <c r="U28" s="588">
        <f t="shared" si="9"/>
        <v>0</v>
      </c>
      <c r="V28" s="588">
        <f t="shared" si="9"/>
        <v>0</v>
      </c>
    </row>
    <row r="29" spans="1:25" hidden="1" x14ac:dyDescent="0.35">
      <c r="A29" s="178" t="s">
        <v>511</v>
      </c>
      <c r="B29" s="178"/>
      <c r="C29" s="129">
        <v>0.25</v>
      </c>
      <c r="D29" s="129"/>
      <c r="E29" s="129">
        <v>0.25</v>
      </c>
      <c r="F29" s="130">
        <v>0.25</v>
      </c>
      <c r="G29" s="192"/>
      <c r="H29" s="130"/>
      <c r="I29" s="445">
        <v>0.25</v>
      </c>
      <c r="J29" s="1361"/>
      <c r="K29" s="445">
        <v>0.25</v>
      </c>
      <c r="L29" s="595">
        <v>0.25</v>
      </c>
      <c r="M29" s="596">
        <v>0.25</v>
      </c>
      <c r="N29" s="596">
        <v>0.25</v>
      </c>
      <c r="O29" s="596">
        <v>0.25</v>
      </c>
      <c r="P29" s="596">
        <v>0.25</v>
      </c>
      <c r="Q29" s="628">
        <v>0.25</v>
      </c>
      <c r="R29" s="786">
        <f t="shared" si="9"/>
        <v>0.25</v>
      </c>
      <c r="S29" s="786">
        <f t="shared" si="9"/>
        <v>0.25</v>
      </c>
      <c r="T29" s="786">
        <f t="shared" si="9"/>
        <v>0.25</v>
      </c>
      <c r="U29" s="786">
        <f t="shared" si="9"/>
        <v>0.25</v>
      </c>
      <c r="V29" s="786">
        <f t="shared" si="9"/>
        <v>0.25</v>
      </c>
    </row>
    <row r="30" spans="1:25" hidden="1" x14ac:dyDescent="0.35">
      <c r="A30" s="186" t="s">
        <v>331</v>
      </c>
      <c r="B30" s="186"/>
      <c r="C30" s="447"/>
      <c r="D30" s="447"/>
      <c r="E30" s="447"/>
      <c r="F30" s="448"/>
      <c r="G30" s="449">
        <v>2600</v>
      </c>
      <c r="H30" s="448"/>
      <c r="I30" s="413">
        <f>ROUND(+I28/(1-I29),0)</f>
        <v>3467</v>
      </c>
      <c r="J30" s="446"/>
      <c r="K30" s="413">
        <f t="shared" ref="K30:V30" si="10">ROUND(+K28/(1-K29),0)</f>
        <v>0</v>
      </c>
      <c r="L30" s="597">
        <f t="shared" si="10"/>
        <v>0</v>
      </c>
      <c r="M30" s="598">
        <f t="shared" si="10"/>
        <v>3467</v>
      </c>
      <c r="N30" s="598">
        <f t="shared" si="10"/>
        <v>3467</v>
      </c>
      <c r="O30" s="598">
        <f t="shared" si="10"/>
        <v>3467</v>
      </c>
      <c r="P30" s="598">
        <f t="shared" si="10"/>
        <v>3467</v>
      </c>
      <c r="Q30" s="629">
        <f t="shared" si="10"/>
        <v>0</v>
      </c>
      <c r="R30" s="597">
        <f t="shared" si="10"/>
        <v>0</v>
      </c>
      <c r="S30" s="598">
        <f t="shared" si="10"/>
        <v>0</v>
      </c>
      <c r="T30" s="598">
        <f t="shared" si="10"/>
        <v>0</v>
      </c>
      <c r="U30" s="598">
        <f t="shared" si="10"/>
        <v>0</v>
      </c>
      <c r="V30" s="598">
        <f t="shared" si="10"/>
        <v>0</v>
      </c>
    </row>
    <row r="31" spans="1:25" x14ac:dyDescent="0.35">
      <c r="A31" s="193" t="s">
        <v>189</v>
      </c>
      <c r="B31" s="193"/>
      <c r="C31" s="195">
        <f>+C26-C28</f>
        <v>7681</v>
      </c>
      <c r="D31" s="195">
        <f>+D26-D28</f>
        <v>8015</v>
      </c>
      <c r="E31" s="195">
        <f>+E26-E28</f>
        <v>0</v>
      </c>
      <c r="F31" s="196">
        <f>+F26-F28</f>
        <v>8015</v>
      </c>
      <c r="G31" s="197">
        <f>+G26-G30</f>
        <v>7497</v>
      </c>
      <c r="H31" s="196"/>
      <c r="I31" s="197">
        <f>+I24-I28</f>
        <v>5121</v>
      </c>
      <c r="K31" s="197">
        <f t="shared" ref="K31:V31" si="11">+K24-K28</f>
        <v>7721</v>
      </c>
      <c r="L31" s="590">
        <f t="shared" si="11"/>
        <v>7721</v>
      </c>
      <c r="M31" s="600">
        <f t="shared" si="11"/>
        <v>5121</v>
      </c>
      <c r="N31" s="600">
        <f t="shared" si="11"/>
        <v>5121</v>
      </c>
      <c r="O31" s="600">
        <f t="shared" si="11"/>
        <v>5121</v>
      </c>
      <c r="P31" s="600">
        <f t="shared" si="11"/>
        <v>5121</v>
      </c>
      <c r="Q31" s="144">
        <f t="shared" si="11"/>
        <v>9805</v>
      </c>
      <c r="R31" s="590">
        <f t="shared" si="11"/>
        <v>9805</v>
      </c>
      <c r="S31" s="600">
        <f t="shared" si="11"/>
        <v>9805</v>
      </c>
      <c r="T31" s="600">
        <f t="shared" si="11"/>
        <v>9805</v>
      </c>
      <c r="U31" s="600">
        <f t="shared" si="11"/>
        <v>9805</v>
      </c>
      <c r="V31" s="600">
        <f t="shared" si="11"/>
        <v>9805</v>
      </c>
    </row>
    <row r="32" spans="1:25" x14ac:dyDescent="0.35">
      <c r="A32" s="198"/>
      <c r="B32" s="198"/>
      <c r="C32" s="198"/>
      <c r="D32" s="198"/>
      <c r="E32" s="198"/>
      <c r="F32" s="198"/>
      <c r="G32" s="198"/>
      <c r="H32" s="198"/>
      <c r="I32" s="198"/>
      <c r="K32" s="198"/>
      <c r="L32" s="198"/>
      <c r="M32" s="198"/>
      <c r="N32" s="198"/>
      <c r="O32" s="198"/>
      <c r="P32" s="198"/>
      <c r="Q32" s="198"/>
      <c r="R32" s="198"/>
      <c r="S32" s="198"/>
      <c r="T32" s="198"/>
      <c r="U32" s="198"/>
      <c r="V32" s="198"/>
    </row>
    <row r="33" spans="1:22" x14ac:dyDescent="0.35">
      <c r="A33" s="199" t="s">
        <v>512</v>
      </c>
      <c r="B33" s="164"/>
      <c r="C33" s="205">
        <v>0.11</v>
      </c>
      <c r="D33" s="205">
        <v>0.11</v>
      </c>
      <c r="E33" s="205">
        <v>0.11</v>
      </c>
      <c r="F33" s="205">
        <v>0.11</v>
      </c>
      <c r="G33" s="414">
        <v>0.11</v>
      </c>
      <c r="H33" s="205"/>
      <c r="I33" s="414">
        <v>0.11</v>
      </c>
      <c r="K33" s="414">
        <v>0.11</v>
      </c>
      <c r="L33" s="606">
        <v>0.11</v>
      </c>
      <c r="M33" s="601">
        <v>0.11</v>
      </c>
      <c r="N33" s="601">
        <v>0.11</v>
      </c>
      <c r="O33" s="601">
        <v>0.11</v>
      </c>
      <c r="P33" s="601">
        <v>0.11</v>
      </c>
      <c r="Q33" s="623">
        <v>0.11</v>
      </c>
      <c r="R33" s="785">
        <f>+$Q33</f>
        <v>0.11</v>
      </c>
      <c r="S33" s="785">
        <f>+$Q33</f>
        <v>0.11</v>
      </c>
      <c r="T33" s="785">
        <f>+$Q33</f>
        <v>0.11</v>
      </c>
      <c r="U33" s="785">
        <f>+$Q33</f>
        <v>0.11</v>
      </c>
      <c r="V33" s="785">
        <f>+$Q33</f>
        <v>0.11</v>
      </c>
    </row>
    <row r="34" spans="1:22" x14ac:dyDescent="0.35">
      <c r="A34" s="178" t="s">
        <v>193</v>
      </c>
      <c r="B34" s="178"/>
      <c r="C34" s="151">
        <f>+C19</f>
        <v>70938.030791666679</v>
      </c>
      <c r="D34" s="151">
        <f>+D19</f>
        <v>70938.030791666679</v>
      </c>
      <c r="E34" s="151">
        <f>+E19</f>
        <v>82650.440499999997</v>
      </c>
      <c r="F34" s="151">
        <f>+F19</f>
        <v>74022.293000000005</v>
      </c>
      <c r="G34" s="168">
        <f>+G19</f>
        <v>78301.380499999999</v>
      </c>
      <c r="H34" s="151"/>
      <c r="I34" s="168">
        <f>+I19</f>
        <v>80745</v>
      </c>
      <c r="K34" s="168">
        <f t="shared" ref="K34:V34" si="12">+K19</f>
        <v>80210</v>
      </c>
      <c r="L34" s="579">
        <f t="shared" si="12"/>
        <v>81403</v>
      </c>
      <c r="M34" s="602">
        <f t="shared" si="12"/>
        <v>82286</v>
      </c>
      <c r="N34" s="602">
        <f t="shared" si="12"/>
        <v>81515</v>
      </c>
      <c r="O34" s="602">
        <f t="shared" si="12"/>
        <v>80745</v>
      </c>
      <c r="P34" s="602">
        <f t="shared" si="12"/>
        <v>83942</v>
      </c>
      <c r="Q34" s="137">
        <f t="shared" si="12"/>
        <v>84504</v>
      </c>
      <c r="R34" s="579">
        <f t="shared" si="12"/>
        <v>86713</v>
      </c>
      <c r="S34" s="602">
        <f t="shared" si="12"/>
        <v>81814</v>
      </c>
      <c r="T34" s="602">
        <f t="shared" si="12"/>
        <v>81012</v>
      </c>
      <c r="U34" s="602">
        <f t="shared" si="12"/>
        <v>80210</v>
      </c>
      <c r="V34" s="602">
        <f t="shared" si="12"/>
        <v>84504</v>
      </c>
    </row>
    <row r="35" spans="1:22" x14ac:dyDescent="0.35">
      <c r="A35" s="178" t="s">
        <v>165</v>
      </c>
      <c r="B35" s="178"/>
      <c r="C35" s="151">
        <f>+C34*C33</f>
        <v>7803.1833870833343</v>
      </c>
      <c r="D35" s="207">
        <f>((+D34+D36)+(D17*D26))*D33</f>
        <v>8752.2796120833355</v>
      </c>
      <c r="E35" s="151">
        <f>+E34*E33</f>
        <v>9091.5484550000001</v>
      </c>
      <c r="F35" s="151">
        <f>+F34*F33</f>
        <v>8142.4522300000008</v>
      </c>
      <c r="G35" s="168">
        <f>ROUND(+G34*G33,0)</f>
        <v>8613</v>
      </c>
      <c r="H35" s="215">
        <v>8613</v>
      </c>
      <c r="I35" s="168">
        <f>ROUND(+I34*I33,0)</f>
        <v>8882</v>
      </c>
      <c r="K35" s="168">
        <f t="shared" ref="K35:V35" si="13">ROUND(+K34*K33,0)</f>
        <v>8823</v>
      </c>
      <c r="L35" s="579">
        <f t="shared" si="13"/>
        <v>8954</v>
      </c>
      <c r="M35" s="602">
        <f t="shared" si="13"/>
        <v>9051</v>
      </c>
      <c r="N35" s="602">
        <f t="shared" si="13"/>
        <v>8967</v>
      </c>
      <c r="O35" s="602">
        <f t="shared" si="13"/>
        <v>8882</v>
      </c>
      <c r="P35" s="602">
        <f t="shared" si="13"/>
        <v>9234</v>
      </c>
      <c r="Q35" s="137">
        <f t="shared" si="13"/>
        <v>9295</v>
      </c>
      <c r="R35" s="579">
        <f t="shared" si="13"/>
        <v>9538</v>
      </c>
      <c r="S35" s="602">
        <f t="shared" si="13"/>
        <v>9000</v>
      </c>
      <c r="T35" s="602">
        <f t="shared" si="13"/>
        <v>8911</v>
      </c>
      <c r="U35" s="602">
        <f t="shared" si="13"/>
        <v>8823</v>
      </c>
      <c r="V35" s="602">
        <f t="shared" si="13"/>
        <v>9295</v>
      </c>
    </row>
    <row r="36" spans="1:22" x14ac:dyDescent="0.35">
      <c r="A36" s="178" t="s">
        <v>191</v>
      </c>
      <c r="B36" s="178"/>
      <c r="C36" s="151">
        <f>+C31</f>
        <v>7681</v>
      </c>
      <c r="D36" s="151">
        <f>+D31</f>
        <v>8015</v>
      </c>
      <c r="E36" s="151">
        <f>+E31</f>
        <v>0</v>
      </c>
      <c r="F36" s="151">
        <f>+F31</f>
        <v>8015</v>
      </c>
      <c r="G36" s="168">
        <f>+G31</f>
        <v>7497</v>
      </c>
      <c r="H36" s="215">
        <v>5090</v>
      </c>
      <c r="I36" s="168">
        <f>+I31</f>
        <v>5121</v>
      </c>
      <c r="K36" s="168">
        <f t="shared" ref="K36:V36" si="14">+K31</f>
        <v>7721</v>
      </c>
      <c r="L36" s="579">
        <f t="shared" si="14"/>
        <v>7721</v>
      </c>
      <c r="M36" s="602">
        <f t="shared" si="14"/>
        <v>5121</v>
      </c>
      <c r="N36" s="602">
        <f t="shared" si="14"/>
        <v>5121</v>
      </c>
      <c r="O36" s="602">
        <f t="shared" si="14"/>
        <v>5121</v>
      </c>
      <c r="P36" s="602">
        <f t="shared" si="14"/>
        <v>5121</v>
      </c>
      <c r="Q36" s="137">
        <f t="shared" si="14"/>
        <v>9805</v>
      </c>
      <c r="R36" s="579">
        <f t="shared" si="14"/>
        <v>9805</v>
      </c>
      <c r="S36" s="602">
        <f t="shared" si="14"/>
        <v>9805</v>
      </c>
      <c r="T36" s="602">
        <f t="shared" si="14"/>
        <v>9805</v>
      </c>
      <c r="U36" s="602">
        <f t="shared" si="14"/>
        <v>9805</v>
      </c>
      <c r="V36" s="602">
        <f t="shared" si="14"/>
        <v>9805</v>
      </c>
    </row>
    <row r="37" spans="1:22" x14ac:dyDescent="0.35">
      <c r="A37" s="454" t="s">
        <v>301</v>
      </c>
      <c r="B37" s="454"/>
      <c r="C37" s="455">
        <f t="shared" ref="C37:H37" si="15">+C35+C36</f>
        <v>15484.183387083334</v>
      </c>
      <c r="D37" s="455">
        <f t="shared" si="15"/>
        <v>16767.279612083337</v>
      </c>
      <c r="E37" s="455">
        <f t="shared" si="15"/>
        <v>9091.5484550000001</v>
      </c>
      <c r="F37" s="455">
        <f t="shared" si="15"/>
        <v>16157.452230000001</v>
      </c>
      <c r="G37" s="456">
        <f t="shared" si="15"/>
        <v>16110</v>
      </c>
      <c r="H37" s="640">
        <f t="shared" si="15"/>
        <v>13703</v>
      </c>
      <c r="I37" s="456">
        <f t="shared" ref="I37:Q37" si="16">+I35+I36</f>
        <v>14003</v>
      </c>
      <c r="K37" s="456">
        <f>+K35+K36</f>
        <v>16544</v>
      </c>
      <c r="L37" s="607">
        <f t="shared" si="16"/>
        <v>16675</v>
      </c>
      <c r="M37" s="603">
        <f t="shared" si="16"/>
        <v>14172</v>
      </c>
      <c r="N37" s="603">
        <f t="shared" si="16"/>
        <v>14088</v>
      </c>
      <c r="O37" s="603">
        <f>+O35+O36</f>
        <v>14003</v>
      </c>
      <c r="P37" s="603">
        <f t="shared" si="16"/>
        <v>14355</v>
      </c>
      <c r="Q37" s="624">
        <f t="shared" si="16"/>
        <v>19100</v>
      </c>
      <c r="R37" s="607">
        <f>+R35+R36</f>
        <v>19343</v>
      </c>
      <c r="S37" s="603">
        <f>+S35+S36</f>
        <v>18805</v>
      </c>
      <c r="T37" s="603">
        <f>+T35+T36</f>
        <v>18716</v>
      </c>
      <c r="U37" s="603">
        <f>+U35+U36</f>
        <v>18628</v>
      </c>
      <c r="V37" s="603">
        <f>+V35+V36</f>
        <v>19100</v>
      </c>
    </row>
    <row r="38" spans="1:22" x14ac:dyDescent="0.35">
      <c r="A38" s="178" t="s">
        <v>196</v>
      </c>
      <c r="B38" s="178"/>
      <c r="C38" s="450">
        <f>+C37/C34</f>
        <v>0.21827760390696258</v>
      </c>
      <c r="D38" s="450">
        <f>+D37/D34</f>
        <v>0.23636516865440033</v>
      </c>
      <c r="E38" s="450">
        <f>+E37/E34</f>
        <v>0.11</v>
      </c>
      <c r="F38" s="450">
        <f>+F37/F34</f>
        <v>0.2182781912740801</v>
      </c>
      <c r="G38" s="451">
        <f>+G37/G34</f>
        <v>0.20574349899233257</v>
      </c>
      <c r="H38" s="450"/>
      <c r="I38" s="451">
        <f>+I37/I34</f>
        <v>0.17342250294135861</v>
      </c>
      <c r="K38" s="451">
        <f t="shared" ref="K38:V38" si="17">+K37/K34</f>
        <v>0.20625857125046751</v>
      </c>
      <c r="L38" s="608">
        <f t="shared" si="17"/>
        <v>0.20484503028143927</v>
      </c>
      <c r="M38" s="604">
        <f t="shared" si="17"/>
        <v>0.1722285686508033</v>
      </c>
      <c r="N38" s="604">
        <f t="shared" si="17"/>
        <v>0.17282708703919525</v>
      </c>
      <c r="O38" s="604">
        <f t="shared" si="17"/>
        <v>0.17342250294135861</v>
      </c>
      <c r="P38" s="604">
        <f t="shared" si="17"/>
        <v>0.17101093612256082</v>
      </c>
      <c r="Q38" s="625">
        <f t="shared" si="17"/>
        <v>0.22602480355959481</v>
      </c>
      <c r="R38" s="608">
        <f t="shared" si="17"/>
        <v>0.22306920530946917</v>
      </c>
      <c r="S38" s="604">
        <f t="shared" si="17"/>
        <v>0.22985063681032586</v>
      </c>
      <c r="T38" s="604">
        <f t="shared" si="17"/>
        <v>0.23102750209845455</v>
      </c>
      <c r="U38" s="604">
        <f t="shared" si="17"/>
        <v>0.23224036903129286</v>
      </c>
      <c r="V38" s="604">
        <f t="shared" si="17"/>
        <v>0.22602480355959481</v>
      </c>
    </row>
    <row r="39" spans="1:22" x14ac:dyDescent="0.35">
      <c r="A39" s="178" t="s">
        <v>300</v>
      </c>
      <c r="B39" s="178"/>
      <c r="C39" s="450">
        <f>+C38/C35</f>
        <v>2.7972891713435705E-5</v>
      </c>
      <c r="D39" s="450">
        <f>+D38/D35</f>
        <v>2.7006126304291768E-5</v>
      </c>
      <c r="E39" s="450">
        <f>+E38/E35</f>
        <v>1.2099149066241214E-5</v>
      </c>
      <c r="F39" s="450">
        <f>+F38/F35</f>
        <v>2.6807426695100191E-5</v>
      </c>
      <c r="G39" s="451"/>
      <c r="H39" s="450"/>
      <c r="I39" s="621">
        <v>0.17499999999999999</v>
      </c>
      <c r="K39" s="621">
        <v>0.20499999999999999</v>
      </c>
      <c r="L39" s="586">
        <v>0.17499999999999999</v>
      </c>
      <c r="M39" s="605">
        <v>0.17499999999999999</v>
      </c>
      <c r="N39" s="605">
        <v>0.17499999999999999</v>
      </c>
      <c r="O39" s="605">
        <v>0.17499999999999999</v>
      </c>
      <c r="P39" s="605">
        <v>0.17499999999999999</v>
      </c>
      <c r="Q39" s="626">
        <v>0.22500000000000001</v>
      </c>
      <c r="R39" s="586">
        <v>0.22500000000000001</v>
      </c>
      <c r="S39" s="605">
        <v>0.23</v>
      </c>
      <c r="T39" s="605">
        <v>0.23</v>
      </c>
      <c r="U39" s="605">
        <v>0.20499999999999999</v>
      </c>
      <c r="V39" s="605">
        <v>0.22500000000000001</v>
      </c>
    </row>
    <row r="40" spans="1:22" x14ac:dyDescent="0.35">
      <c r="A40" s="193" t="s">
        <v>192</v>
      </c>
      <c r="B40" s="452"/>
      <c r="C40" s="453"/>
      <c r="D40" s="453"/>
      <c r="E40" s="453"/>
      <c r="F40" s="453"/>
      <c r="G40" s="197">
        <f>+G37</f>
        <v>16110</v>
      </c>
      <c r="H40" s="453"/>
      <c r="I40" s="197">
        <f>ROUND(+I19*I39,0)</f>
        <v>14130</v>
      </c>
      <c r="K40" s="197">
        <f t="shared" ref="K40:V40" si="18">ROUND(+K19*K39,0)</f>
        <v>16443</v>
      </c>
      <c r="L40" s="590">
        <f t="shared" si="18"/>
        <v>14246</v>
      </c>
      <c r="M40" s="600">
        <f t="shared" si="18"/>
        <v>14400</v>
      </c>
      <c r="N40" s="600">
        <f t="shared" si="18"/>
        <v>14265</v>
      </c>
      <c r="O40" s="600">
        <f t="shared" si="18"/>
        <v>14130</v>
      </c>
      <c r="P40" s="600">
        <f t="shared" si="18"/>
        <v>14690</v>
      </c>
      <c r="Q40" s="144">
        <f t="shared" si="18"/>
        <v>19013</v>
      </c>
      <c r="R40" s="590">
        <f t="shared" si="18"/>
        <v>19510</v>
      </c>
      <c r="S40" s="600">
        <f t="shared" si="18"/>
        <v>18817</v>
      </c>
      <c r="T40" s="600">
        <f t="shared" si="18"/>
        <v>18633</v>
      </c>
      <c r="U40" s="600">
        <f t="shared" si="18"/>
        <v>16443</v>
      </c>
      <c r="V40" s="600">
        <f t="shared" si="18"/>
        <v>19013</v>
      </c>
    </row>
    <row r="41" spans="1:22" x14ac:dyDescent="0.35">
      <c r="A41" s="198"/>
      <c r="B41" s="198"/>
      <c r="C41" s="198"/>
      <c r="D41" s="198"/>
      <c r="E41" s="198"/>
      <c r="F41" s="198"/>
      <c r="G41" s="198"/>
      <c r="H41" s="198"/>
      <c r="I41" s="198"/>
      <c r="K41" s="198"/>
      <c r="L41" s="198"/>
      <c r="M41" s="198"/>
      <c r="N41" s="198"/>
      <c r="O41" s="198"/>
      <c r="P41" s="198"/>
      <c r="Q41" s="198"/>
      <c r="R41" s="198"/>
      <c r="S41" s="198"/>
      <c r="T41" s="198"/>
      <c r="U41" s="198"/>
      <c r="V41" s="198"/>
    </row>
    <row r="42" spans="1:22" x14ac:dyDescent="0.35">
      <c r="A42" s="199" t="s">
        <v>195</v>
      </c>
      <c r="B42" s="164"/>
      <c r="C42" s="200"/>
      <c r="D42" s="200"/>
      <c r="E42" s="200"/>
      <c r="F42" s="201"/>
      <c r="G42" s="165"/>
      <c r="H42" s="201"/>
      <c r="I42" s="165"/>
      <c r="K42" s="165"/>
      <c r="L42" s="578"/>
      <c r="M42" s="591"/>
      <c r="N42" s="591"/>
      <c r="O42" s="591"/>
      <c r="P42" s="591"/>
      <c r="Q42" s="136"/>
      <c r="R42" s="578"/>
      <c r="S42" s="591"/>
      <c r="T42" s="591"/>
      <c r="U42" s="591"/>
      <c r="V42" s="591"/>
    </row>
    <row r="43" spans="1:22" x14ac:dyDescent="0.35">
      <c r="A43" s="178" t="s">
        <v>513</v>
      </c>
      <c r="B43" s="178"/>
      <c r="C43" s="210">
        <v>0.03</v>
      </c>
      <c r="D43" s="210">
        <v>0.03</v>
      </c>
      <c r="E43" s="210">
        <v>0.03</v>
      </c>
      <c r="F43" s="211">
        <v>0.03</v>
      </c>
      <c r="G43" s="415">
        <v>2.5000000000000001E-2</v>
      </c>
      <c r="H43" s="211">
        <v>2.5000000000000001E-2</v>
      </c>
      <c r="I43" s="415">
        <v>1.4999999999999999E-2</v>
      </c>
      <c r="K43" s="415">
        <v>1.4999999999999999E-2</v>
      </c>
      <c r="L43" s="612">
        <v>1.4999999999999999E-2</v>
      </c>
      <c r="M43" s="609">
        <v>1.4999999999999999E-2</v>
      </c>
      <c r="N43" s="609">
        <v>1.4999999999999999E-2</v>
      </c>
      <c r="O43" s="609">
        <v>1.4999999999999999E-2</v>
      </c>
      <c r="P43" s="609">
        <v>1.4999999999999999E-2</v>
      </c>
      <c r="Q43" s="419">
        <v>1.4999999999999999E-2</v>
      </c>
      <c r="R43" s="613">
        <f>+$Q43</f>
        <v>1.4999999999999999E-2</v>
      </c>
      <c r="S43" s="613">
        <f t="shared" ref="S43:V44" si="19">+$Q43</f>
        <v>1.4999999999999999E-2</v>
      </c>
      <c r="T43" s="613">
        <f t="shared" si="19"/>
        <v>1.4999999999999999E-2</v>
      </c>
      <c r="U43" s="613">
        <f t="shared" si="19"/>
        <v>1.4999999999999999E-2</v>
      </c>
      <c r="V43" s="613">
        <f t="shared" si="19"/>
        <v>1.4999999999999999E-2</v>
      </c>
    </row>
    <row r="44" spans="1:22" x14ac:dyDescent="0.35">
      <c r="A44" s="178" t="s">
        <v>514</v>
      </c>
      <c r="B44" s="178"/>
      <c r="C44" s="210">
        <v>3.0000000000000001E-3</v>
      </c>
      <c r="D44" s="210">
        <v>3.0000000000000001E-3</v>
      </c>
      <c r="E44" s="210">
        <v>3.0000000000000001E-3</v>
      </c>
      <c r="F44" s="211">
        <v>3.0000000000000001E-3</v>
      </c>
      <c r="G44" s="415">
        <v>2E-3</v>
      </c>
      <c r="H44" s="211">
        <v>2E-3</v>
      </c>
      <c r="I44" s="415">
        <v>7.0000000000000001E-3</v>
      </c>
      <c r="K44" s="415">
        <v>7.0000000000000001E-3</v>
      </c>
      <c r="L44" s="612">
        <v>7.0000000000000001E-3</v>
      </c>
      <c r="M44" s="609">
        <v>7.0000000000000001E-3</v>
      </c>
      <c r="N44" s="609">
        <v>7.0000000000000001E-3</v>
      </c>
      <c r="O44" s="609">
        <v>7.0000000000000001E-3</v>
      </c>
      <c r="P44" s="609">
        <v>7.0000000000000001E-3</v>
      </c>
      <c r="Q44" s="419">
        <v>7.0000000000000001E-3</v>
      </c>
      <c r="R44" s="613">
        <f>+$Q44</f>
        <v>7.0000000000000001E-3</v>
      </c>
      <c r="S44" s="613">
        <f t="shared" si="19"/>
        <v>7.0000000000000001E-3</v>
      </c>
      <c r="T44" s="613">
        <f t="shared" si="19"/>
        <v>7.0000000000000001E-3</v>
      </c>
      <c r="U44" s="613">
        <f t="shared" si="19"/>
        <v>7.0000000000000001E-3</v>
      </c>
      <c r="V44" s="613">
        <f t="shared" si="19"/>
        <v>7.0000000000000001E-3</v>
      </c>
    </row>
    <row r="45" spans="1:22" hidden="1" x14ac:dyDescent="0.35">
      <c r="A45" s="178" t="s">
        <v>168</v>
      </c>
      <c r="B45" s="178"/>
      <c r="C45" s="210">
        <v>7.0000000000000001E-3</v>
      </c>
      <c r="D45" s="210">
        <v>7.0000000000000001E-3</v>
      </c>
      <c r="E45" s="210">
        <v>7.0000000000000001E-3</v>
      </c>
      <c r="F45" s="211">
        <v>7.0000000000000001E-3</v>
      </c>
      <c r="G45" s="415">
        <v>7.0000000000000001E-3</v>
      </c>
      <c r="H45" s="211">
        <v>7.0000000000000001E-3</v>
      </c>
      <c r="I45" s="415">
        <v>7.0000000000000001E-3</v>
      </c>
      <c r="J45" s="134" t="s">
        <v>354</v>
      </c>
      <c r="K45" s="415">
        <v>0</v>
      </c>
      <c r="L45" s="612">
        <v>0</v>
      </c>
      <c r="M45" s="609">
        <v>0</v>
      </c>
      <c r="N45" s="609">
        <v>0</v>
      </c>
      <c r="O45" s="609">
        <v>0</v>
      </c>
      <c r="P45" s="609">
        <v>0</v>
      </c>
      <c r="Q45" s="419">
        <v>0</v>
      </c>
      <c r="R45" s="612">
        <v>0</v>
      </c>
      <c r="S45" s="609">
        <v>0</v>
      </c>
      <c r="T45" s="609">
        <v>0</v>
      </c>
      <c r="U45" s="609">
        <v>0</v>
      </c>
      <c r="V45" s="609">
        <v>0</v>
      </c>
    </row>
    <row r="46" spans="1:22" x14ac:dyDescent="0.35">
      <c r="A46" s="178" t="s">
        <v>515</v>
      </c>
      <c r="B46" s="178"/>
      <c r="C46" s="212">
        <f t="shared" ref="C46:H46" si="20">+C43+C44+C45</f>
        <v>0.04</v>
      </c>
      <c r="D46" s="212">
        <f t="shared" si="20"/>
        <v>0.04</v>
      </c>
      <c r="E46" s="212">
        <f t="shared" si="20"/>
        <v>0.04</v>
      </c>
      <c r="F46" s="213">
        <f t="shared" si="20"/>
        <v>0.04</v>
      </c>
      <c r="G46" s="416">
        <f t="shared" si="20"/>
        <v>3.4000000000000002E-2</v>
      </c>
      <c r="H46" s="213">
        <f t="shared" si="20"/>
        <v>3.4000000000000002E-2</v>
      </c>
      <c r="I46" s="416">
        <f t="shared" ref="I46:Q46" si="21">+I43+I44+I45</f>
        <v>2.8999999999999998E-2</v>
      </c>
      <c r="K46" s="416">
        <f>+K43+K44+K45</f>
        <v>2.1999999999999999E-2</v>
      </c>
      <c r="L46" s="613">
        <f t="shared" si="21"/>
        <v>2.1999999999999999E-2</v>
      </c>
      <c r="M46" s="610">
        <f t="shared" si="21"/>
        <v>2.1999999999999999E-2</v>
      </c>
      <c r="N46" s="610">
        <f t="shared" si="21"/>
        <v>2.1999999999999999E-2</v>
      </c>
      <c r="O46" s="610">
        <f>+O43+O44+O45</f>
        <v>2.1999999999999999E-2</v>
      </c>
      <c r="P46" s="610">
        <f t="shared" si="21"/>
        <v>2.1999999999999999E-2</v>
      </c>
      <c r="Q46" s="420">
        <f t="shared" si="21"/>
        <v>2.1999999999999999E-2</v>
      </c>
      <c r="R46" s="613">
        <f>+R43+R44+R45</f>
        <v>2.1999999999999999E-2</v>
      </c>
      <c r="S46" s="610">
        <f>+S43+S44+S45</f>
        <v>2.1999999999999999E-2</v>
      </c>
      <c r="T46" s="610">
        <f>+T43+T44+T45</f>
        <v>2.1999999999999999E-2</v>
      </c>
      <c r="U46" s="610">
        <f>+U43+U44+U45</f>
        <v>2.1999999999999999E-2</v>
      </c>
      <c r="V46" s="610">
        <f>+V43+V44+V45</f>
        <v>2.1999999999999999E-2</v>
      </c>
    </row>
    <row r="47" spans="1:22" x14ac:dyDescent="0.35">
      <c r="A47" s="178" t="s">
        <v>193</v>
      </c>
      <c r="B47" s="178"/>
      <c r="C47" s="151">
        <f t="shared" ref="C47:H47" si="22">+C19</f>
        <v>70938.030791666679</v>
      </c>
      <c r="D47" s="151">
        <f t="shared" si="22"/>
        <v>70938.030791666679</v>
      </c>
      <c r="E47" s="151">
        <f t="shared" si="22"/>
        <v>82650.440499999997</v>
      </c>
      <c r="F47" s="206">
        <f t="shared" si="22"/>
        <v>74022.293000000005</v>
      </c>
      <c r="G47" s="168">
        <f t="shared" si="22"/>
        <v>78301.380499999999</v>
      </c>
      <c r="H47" s="206">
        <f t="shared" si="22"/>
        <v>78301.380499999999</v>
      </c>
      <c r="I47" s="168">
        <f t="shared" ref="I47:Q47" si="23">+I19</f>
        <v>80745</v>
      </c>
      <c r="K47" s="168">
        <f>+K19</f>
        <v>80210</v>
      </c>
      <c r="L47" s="579">
        <f t="shared" si="23"/>
        <v>81403</v>
      </c>
      <c r="M47" s="602">
        <f t="shared" si="23"/>
        <v>82286</v>
      </c>
      <c r="N47" s="602">
        <f t="shared" si="23"/>
        <v>81515</v>
      </c>
      <c r="O47" s="602">
        <f>+O19</f>
        <v>80745</v>
      </c>
      <c r="P47" s="602">
        <f t="shared" si="23"/>
        <v>83942</v>
      </c>
      <c r="Q47" s="137">
        <f t="shared" si="23"/>
        <v>84504</v>
      </c>
      <c r="R47" s="579">
        <f>+R19</f>
        <v>86713</v>
      </c>
      <c r="S47" s="602">
        <f>+S19</f>
        <v>81814</v>
      </c>
      <c r="T47" s="602">
        <f>+T19</f>
        <v>81012</v>
      </c>
      <c r="U47" s="602">
        <f>+U19</f>
        <v>80210</v>
      </c>
      <c r="V47" s="602">
        <f>+V19</f>
        <v>84504</v>
      </c>
    </row>
    <row r="48" spans="1:22" ht="29" hidden="1" x14ac:dyDescent="0.35">
      <c r="A48" s="214" t="s">
        <v>200</v>
      </c>
      <c r="B48" s="178"/>
      <c r="C48" s="151">
        <f>+C26</f>
        <v>7681</v>
      </c>
      <c r="D48" s="151">
        <f>+D26</f>
        <v>8015</v>
      </c>
      <c r="E48" s="215">
        <v>0</v>
      </c>
      <c r="F48" s="206">
        <f>+F26</f>
        <v>8015</v>
      </c>
      <c r="G48" s="409">
        <v>0</v>
      </c>
      <c r="H48" s="208">
        <v>0</v>
      </c>
      <c r="I48" s="409">
        <v>0</v>
      </c>
      <c r="K48" s="409">
        <v>0</v>
      </c>
      <c r="L48" s="614">
        <v>0</v>
      </c>
      <c r="M48" s="611">
        <v>0</v>
      </c>
      <c r="N48" s="611">
        <v>0</v>
      </c>
      <c r="O48" s="611">
        <v>0</v>
      </c>
      <c r="P48" s="611">
        <v>0</v>
      </c>
      <c r="Q48" s="217">
        <v>0</v>
      </c>
      <c r="R48" s="614">
        <v>0</v>
      </c>
      <c r="S48" s="611">
        <v>0</v>
      </c>
      <c r="T48" s="611">
        <v>0</v>
      </c>
      <c r="U48" s="611">
        <v>0</v>
      </c>
      <c r="V48" s="611">
        <v>0</v>
      </c>
    </row>
    <row r="49" spans="1:25" hidden="1" x14ac:dyDescent="0.35">
      <c r="A49" s="214" t="s">
        <v>199</v>
      </c>
      <c r="B49" s="178"/>
      <c r="C49" s="151">
        <f>+C31*C17</f>
        <v>587.59649999999999</v>
      </c>
      <c r="D49" s="151">
        <f>+D31*D17</f>
        <v>613.14750000000004</v>
      </c>
      <c r="E49" s="151">
        <f>+E31*E17</f>
        <v>0</v>
      </c>
      <c r="F49" s="206">
        <f>+F31*F17</f>
        <v>613.14750000000004</v>
      </c>
      <c r="G49" s="168"/>
      <c r="H49" s="206"/>
      <c r="I49" s="168"/>
      <c r="K49" s="168"/>
      <c r="L49" s="579"/>
      <c r="M49" s="602"/>
      <c r="N49" s="602"/>
      <c r="O49" s="602"/>
      <c r="P49" s="602"/>
      <c r="Q49" s="137"/>
      <c r="R49" s="579"/>
      <c r="S49" s="602"/>
      <c r="T49" s="602"/>
      <c r="U49" s="602"/>
      <c r="V49" s="602"/>
    </row>
    <row r="50" spans="1:25" hidden="1" x14ac:dyDescent="0.35">
      <c r="A50" s="148" t="s">
        <v>198</v>
      </c>
      <c r="B50" s="148"/>
      <c r="C50" s="149">
        <f t="shared" ref="C50:H50" si="24">SUM(C47:C49)</f>
        <v>79206.627291666679</v>
      </c>
      <c r="D50" s="149">
        <f t="shared" si="24"/>
        <v>79566.178291666685</v>
      </c>
      <c r="E50" s="149">
        <f t="shared" si="24"/>
        <v>82650.440499999997</v>
      </c>
      <c r="F50" s="150">
        <f t="shared" si="24"/>
        <v>82650.440500000012</v>
      </c>
      <c r="G50" s="168">
        <f t="shared" si="24"/>
        <v>78301.380499999999</v>
      </c>
      <c r="H50" s="150">
        <f t="shared" si="24"/>
        <v>78301.380499999999</v>
      </c>
      <c r="I50" s="168">
        <f t="shared" ref="I50:Q50" si="25">SUM(I47:I49)</f>
        <v>80745</v>
      </c>
      <c r="K50" s="168">
        <f>SUM(K47:K49)</f>
        <v>80210</v>
      </c>
      <c r="L50" s="579">
        <f t="shared" si="25"/>
        <v>81403</v>
      </c>
      <c r="M50" s="602">
        <f t="shared" si="25"/>
        <v>82286</v>
      </c>
      <c r="N50" s="602">
        <f t="shared" si="25"/>
        <v>81515</v>
      </c>
      <c r="O50" s="602">
        <f>SUM(O47:O49)</f>
        <v>80745</v>
      </c>
      <c r="P50" s="602">
        <f t="shared" si="25"/>
        <v>83942</v>
      </c>
      <c r="Q50" s="137">
        <f t="shared" si="25"/>
        <v>84504</v>
      </c>
      <c r="R50" s="579">
        <f>SUM(R47:R49)</f>
        <v>86713</v>
      </c>
      <c r="S50" s="602">
        <f>SUM(S47:S49)</f>
        <v>81814</v>
      </c>
      <c r="T50" s="602">
        <f>SUM(T47:T49)</f>
        <v>81012</v>
      </c>
      <c r="U50" s="602">
        <f>SUM(U47:U49)</f>
        <v>80210</v>
      </c>
      <c r="V50" s="602">
        <f>SUM(V47:V49)</f>
        <v>84504</v>
      </c>
    </row>
    <row r="51" spans="1:25" x14ac:dyDescent="0.35">
      <c r="A51" s="154" t="s">
        <v>197</v>
      </c>
      <c r="B51" s="154"/>
      <c r="C51" s="155">
        <f>+C50*C46</f>
        <v>3168.2650916666671</v>
      </c>
      <c r="D51" s="155">
        <f>+D50*D46+1</f>
        <v>3183.6471316666675</v>
      </c>
      <c r="E51" s="155">
        <f>+E50*E46+1</f>
        <v>3307.0176200000001</v>
      </c>
      <c r="F51" s="156">
        <f>+F50*F46+1</f>
        <v>3307.0176200000005</v>
      </c>
      <c r="G51" s="197">
        <f>ROUND(+G50*G46,0)</f>
        <v>2662</v>
      </c>
      <c r="H51" s="197">
        <f>ROUND(+H50*H46,0)</f>
        <v>2662</v>
      </c>
      <c r="I51" s="197">
        <f>ROUND(+I50*I46,0)</f>
        <v>2342</v>
      </c>
      <c r="K51" s="197">
        <f t="shared" ref="K51:V51" si="26">ROUND(+K50*K46,0)</f>
        <v>1765</v>
      </c>
      <c r="L51" s="590">
        <f t="shared" si="26"/>
        <v>1791</v>
      </c>
      <c r="M51" s="600">
        <f t="shared" si="26"/>
        <v>1810</v>
      </c>
      <c r="N51" s="600">
        <f t="shared" si="26"/>
        <v>1793</v>
      </c>
      <c r="O51" s="600">
        <f t="shared" si="26"/>
        <v>1776</v>
      </c>
      <c r="P51" s="600">
        <f t="shared" si="26"/>
        <v>1847</v>
      </c>
      <c r="Q51" s="144">
        <f t="shared" si="26"/>
        <v>1859</v>
      </c>
      <c r="R51" s="590">
        <f t="shared" si="26"/>
        <v>1908</v>
      </c>
      <c r="S51" s="600">
        <f t="shared" si="26"/>
        <v>1800</v>
      </c>
      <c r="T51" s="600">
        <f t="shared" si="26"/>
        <v>1782</v>
      </c>
      <c r="U51" s="600">
        <f t="shared" si="26"/>
        <v>1765</v>
      </c>
      <c r="V51" s="600">
        <f t="shared" si="26"/>
        <v>1859</v>
      </c>
    </row>
    <row r="52" spans="1:25" x14ac:dyDescent="0.35">
      <c r="D52" s="141"/>
      <c r="E52" s="141"/>
      <c r="G52" s="198"/>
      <c r="I52" s="198"/>
      <c r="K52" s="198"/>
    </row>
    <row r="53" spans="1:25" x14ac:dyDescent="0.35">
      <c r="A53" s="145" t="s">
        <v>103</v>
      </c>
      <c r="B53" s="146"/>
      <c r="C53" s="157"/>
      <c r="D53" s="157"/>
      <c r="E53" s="157"/>
      <c r="F53" s="158"/>
      <c r="G53" s="408"/>
      <c r="H53" s="157"/>
      <c r="I53" s="408"/>
      <c r="K53" s="408"/>
      <c r="L53" s="615"/>
      <c r="M53" s="615"/>
      <c r="N53" s="615"/>
      <c r="O53" s="615"/>
      <c r="P53" s="615"/>
      <c r="Q53" s="216"/>
      <c r="R53" s="615"/>
      <c r="S53" s="615"/>
      <c r="T53" s="615"/>
      <c r="U53" s="615"/>
      <c r="V53" s="615"/>
    </row>
    <row r="54" spans="1:25" x14ac:dyDescent="0.35">
      <c r="A54" s="148" t="s">
        <v>202</v>
      </c>
      <c r="B54" s="148"/>
      <c r="C54" s="152">
        <v>1500</v>
      </c>
      <c r="D54" s="152">
        <v>1500</v>
      </c>
      <c r="E54" s="152">
        <v>1500</v>
      </c>
      <c r="F54" s="153">
        <v>1500</v>
      </c>
      <c r="G54" s="409">
        <v>1500</v>
      </c>
      <c r="H54" s="152">
        <v>1500</v>
      </c>
      <c r="I54" s="409">
        <v>1500</v>
      </c>
      <c r="K54" s="409">
        <v>1500</v>
      </c>
      <c r="L54" s="614">
        <v>1500</v>
      </c>
      <c r="M54" s="614">
        <v>1500</v>
      </c>
      <c r="N54" s="614">
        <v>1500</v>
      </c>
      <c r="O54" s="614">
        <v>1500</v>
      </c>
      <c r="P54" s="614">
        <v>1500</v>
      </c>
      <c r="Q54" s="217">
        <v>1500</v>
      </c>
      <c r="R54" s="784">
        <f>+$Q54</f>
        <v>1500</v>
      </c>
      <c r="S54" s="784">
        <f t="shared" ref="S54:V55" si="27">+$Q54</f>
        <v>1500</v>
      </c>
      <c r="T54" s="784">
        <f t="shared" si="27"/>
        <v>1500</v>
      </c>
      <c r="U54" s="784">
        <f t="shared" si="27"/>
        <v>1500</v>
      </c>
      <c r="V54" s="784">
        <f t="shared" si="27"/>
        <v>1500</v>
      </c>
    </row>
    <row r="55" spans="1:25" x14ac:dyDescent="0.35">
      <c r="A55" s="148" t="s">
        <v>516</v>
      </c>
      <c r="B55" s="148"/>
      <c r="C55" s="152">
        <v>1000</v>
      </c>
      <c r="D55" s="152">
        <v>1000</v>
      </c>
      <c r="E55" s="152">
        <v>1000</v>
      </c>
      <c r="F55" s="153">
        <v>1000</v>
      </c>
      <c r="G55" s="409">
        <v>1000</v>
      </c>
      <c r="H55" s="152">
        <v>700</v>
      </c>
      <c r="I55" s="409">
        <v>1000</v>
      </c>
      <c r="K55" s="409">
        <v>1000</v>
      </c>
      <c r="L55" s="614">
        <v>1000</v>
      </c>
      <c r="M55" s="614">
        <v>1000</v>
      </c>
      <c r="N55" s="614">
        <v>1000</v>
      </c>
      <c r="O55" s="614">
        <v>1000</v>
      </c>
      <c r="P55" s="614">
        <v>1000</v>
      </c>
      <c r="Q55" s="217">
        <v>1300</v>
      </c>
      <c r="R55" s="784">
        <f>+$Q55</f>
        <v>1300</v>
      </c>
      <c r="S55" s="784">
        <f t="shared" si="27"/>
        <v>1300</v>
      </c>
      <c r="T55" s="784">
        <f t="shared" si="27"/>
        <v>1300</v>
      </c>
      <c r="U55" s="784">
        <f t="shared" si="27"/>
        <v>1300</v>
      </c>
      <c r="V55" s="784">
        <f t="shared" si="27"/>
        <v>1300</v>
      </c>
    </row>
    <row r="56" spans="1:25" x14ac:dyDescent="0.35">
      <c r="A56" s="148" t="s">
        <v>534</v>
      </c>
      <c r="B56" s="148"/>
      <c r="C56" s="152"/>
      <c r="D56" s="152"/>
      <c r="E56" s="152"/>
      <c r="F56" s="153"/>
      <c r="G56" s="409"/>
      <c r="H56" s="152"/>
      <c r="I56" s="409"/>
      <c r="K56" s="409"/>
      <c r="L56" s="614"/>
      <c r="M56" s="614"/>
      <c r="N56" s="614"/>
      <c r="O56" s="614"/>
      <c r="P56" s="614"/>
      <c r="Q56" s="217"/>
      <c r="R56" s="784"/>
      <c r="S56" s="784"/>
      <c r="T56" s="784"/>
      <c r="U56" s="784"/>
      <c r="V56" s="784"/>
    </row>
    <row r="57" spans="1:25" x14ac:dyDescent="0.35">
      <c r="A57" s="148" t="s">
        <v>103</v>
      </c>
      <c r="B57" s="148"/>
      <c r="C57" s="152">
        <v>600</v>
      </c>
      <c r="D57" s="152">
        <v>600</v>
      </c>
      <c r="E57" s="152">
        <v>600</v>
      </c>
      <c r="F57" s="153">
        <v>600</v>
      </c>
      <c r="G57" s="409">
        <v>600</v>
      </c>
      <c r="H57" s="152">
        <v>600</v>
      </c>
      <c r="I57" s="409">
        <v>600</v>
      </c>
      <c r="K57" s="409">
        <v>600</v>
      </c>
      <c r="L57" s="614">
        <v>600</v>
      </c>
      <c r="M57" s="614">
        <v>600</v>
      </c>
      <c r="N57" s="614">
        <v>600</v>
      </c>
      <c r="O57" s="614">
        <v>600</v>
      </c>
      <c r="P57" s="614">
        <v>600</v>
      </c>
      <c r="Q57" s="217">
        <v>600</v>
      </c>
      <c r="R57" s="784">
        <f>+$Q57</f>
        <v>600</v>
      </c>
      <c r="S57" s="784">
        <f t="shared" ref="S57:V58" si="28">+$Q57</f>
        <v>600</v>
      </c>
      <c r="T57" s="784">
        <f t="shared" si="28"/>
        <v>600</v>
      </c>
      <c r="U57" s="784">
        <f t="shared" si="28"/>
        <v>600</v>
      </c>
      <c r="V57" s="784">
        <f t="shared" si="28"/>
        <v>600</v>
      </c>
    </row>
    <row r="58" spans="1:25" x14ac:dyDescent="0.35">
      <c r="A58" s="178" t="s">
        <v>215</v>
      </c>
      <c r="B58" s="178"/>
      <c r="C58" s="179"/>
      <c r="D58" s="179"/>
      <c r="E58" s="179"/>
      <c r="F58" s="180"/>
      <c r="G58" s="409">
        <f>40*12</f>
        <v>480</v>
      </c>
      <c r="H58" s="639">
        <f>25*12</f>
        <v>300</v>
      </c>
      <c r="I58" s="409">
        <f>ROUND(40*12,0)</f>
        <v>480</v>
      </c>
      <c r="K58" s="409">
        <f t="shared" ref="K58:Q58" si="29">ROUND(40*12,0)</f>
        <v>480</v>
      </c>
      <c r="L58" s="614">
        <f t="shared" si="29"/>
        <v>480</v>
      </c>
      <c r="M58" s="614">
        <f t="shared" si="29"/>
        <v>480</v>
      </c>
      <c r="N58" s="614">
        <f t="shared" si="29"/>
        <v>480</v>
      </c>
      <c r="O58" s="614">
        <f t="shared" si="29"/>
        <v>480</v>
      </c>
      <c r="P58" s="614">
        <f t="shared" si="29"/>
        <v>480</v>
      </c>
      <c r="Q58" s="217">
        <f t="shared" si="29"/>
        <v>480</v>
      </c>
      <c r="R58" s="784">
        <f>+$Q58</f>
        <v>480</v>
      </c>
      <c r="S58" s="784">
        <f t="shared" si="28"/>
        <v>480</v>
      </c>
      <c r="T58" s="784">
        <f t="shared" si="28"/>
        <v>480</v>
      </c>
      <c r="U58" s="784">
        <f t="shared" si="28"/>
        <v>480</v>
      </c>
      <c r="V58" s="784">
        <f t="shared" si="28"/>
        <v>480</v>
      </c>
    </row>
    <row r="59" spans="1:25" x14ac:dyDescent="0.35">
      <c r="A59" s="159" t="s">
        <v>204</v>
      </c>
      <c r="B59" s="159"/>
      <c r="C59" s="160">
        <f t="shared" ref="C59:H59" si="30">+SUM(C54:C58)</f>
        <v>3100</v>
      </c>
      <c r="D59" s="160">
        <f t="shared" si="30"/>
        <v>3100</v>
      </c>
      <c r="E59" s="160">
        <f t="shared" si="30"/>
        <v>3100</v>
      </c>
      <c r="F59" s="161">
        <f t="shared" si="30"/>
        <v>3100</v>
      </c>
      <c r="G59" s="410">
        <f t="shared" si="30"/>
        <v>3580</v>
      </c>
      <c r="H59" s="160">
        <f t="shared" si="30"/>
        <v>3100</v>
      </c>
      <c r="I59" s="410">
        <f t="shared" ref="I59:P59" si="31">+SUM(I54:I58)</f>
        <v>3580</v>
      </c>
      <c r="K59" s="410">
        <f>+SUM(K54:K58)</f>
        <v>3580</v>
      </c>
      <c r="L59" s="616">
        <f t="shared" si="31"/>
        <v>3580</v>
      </c>
      <c r="M59" s="616">
        <f t="shared" si="31"/>
        <v>3580</v>
      </c>
      <c r="N59" s="616">
        <f t="shared" si="31"/>
        <v>3580</v>
      </c>
      <c r="O59" s="616">
        <f>+SUM(O54:O58)</f>
        <v>3580</v>
      </c>
      <c r="P59" s="616">
        <f t="shared" si="31"/>
        <v>3580</v>
      </c>
      <c r="Q59" s="218">
        <f t="shared" ref="Q59:V59" si="32">+SUM(Q54:Q58)</f>
        <v>3880</v>
      </c>
      <c r="R59" s="616">
        <f t="shared" si="32"/>
        <v>3880</v>
      </c>
      <c r="S59" s="616">
        <f t="shared" si="32"/>
        <v>3880</v>
      </c>
      <c r="T59" s="616">
        <f t="shared" si="32"/>
        <v>3880</v>
      </c>
      <c r="U59" s="616">
        <f t="shared" si="32"/>
        <v>3880</v>
      </c>
      <c r="V59" s="616">
        <f t="shared" si="32"/>
        <v>3880</v>
      </c>
    </row>
    <row r="60" spans="1:25" ht="7.5" customHeight="1" thickBot="1" x14ac:dyDescent="0.4">
      <c r="G60" s="198"/>
      <c r="I60" s="179"/>
      <c r="K60" s="198"/>
    </row>
    <row r="61" spans="1:25" ht="15.5" thickTop="1" thickBot="1" x14ac:dyDescent="0.4">
      <c r="A61" s="491" t="s">
        <v>203</v>
      </c>
      <c r="B61" s="809"/>
      <c r="C61" s="810">
        <f t="shared" ref="C61:I61" si="33">+C19+C37+C51+C59</f>
        <v>92690.479270416676</v>
      </c>
      <c r="D61" s="810">
        <f t="shared" si="33"/>
        <v>93988.957535416688</v>
      </c>
      <c r="E61" s="810">
        <f t="shared" si="33"/>
        <v>98149.006574999992</v>
      </c>
      <c r="F61" s="811">
        <f t="shared" si="33"/>
        <v>96586.762849999999</v>
      </c>
      <c r="G61" s="812">
        <f t="shared" si="33"/>
        <v>100653.3805</v>
      </c>
      <c r="H61" s="810">
        <f t="shared" si="33"/>
        <v>97766.380499999999</v>
      </c>
      <c r="I61" s="812">
        <f t="shared" si="33"/>
        <v>100670</v>
      </c>
      <c r="J61" s="813"/>
      <c r="K61" s="812">
        <f t="shared" ref="K61:P61" si="34">+K19+K37+K51+K59</f>
        <v>102099</v>
      </c>
      <c r="L61" s="814">
        <f>+L19+L37+L51+L59</f>
        <v>103449</v>
      </c>
      <c r="M61" s="814">
        <f t="shared" si="34"/>
        <v>101848</v>
      </c>
      <c r="N61" s="814">
        <f t="shared" si="34"/>
        <v>100976</v>
      </c>
      <c r="O61" s="814">
        <f t="shared" si="34"/>
        <v>100104</v>
      </c>
      <c r="P61" s="814">
        <f t="shared" si="34"/>
        <v>103724</v>
      </c>
      <c r="Q61" s="815">
        <f t="shared" ref="Q61:V61" si="35">+Q19+Q40+Q51+Q59</f>
        <v>109256</v>
      </c>
      <c r="R61" s="808">
        <f t="shared" si="35"/>
        <v>112011</v>
      </c>
      <c r="S61" s="617">
        <f t="shared" si="35"/>
        <v>106311</v>
      </c>
      <c r="T61" s="617">
        <f t="shared" si="35"/>
        <v>105307</v>
      </c>
      <c r="U61" s="617">
        <f t="shared" si="35"/>
        <v>102298</v>
      </c>
      <c r="V61" s="617">
        <f t="shared" si="35"/>
        <v>109256</v>
      </c>
      <c r="Y61" s="807"/>
    </row>
    <row r="62" spans="1:25" ht="15" thickTop="1" x14ac:dyDescent="0.35">
      <c r="A62" s="221" t="s">
        <v>278</v>
      </c>
      <c r="B62" s="221"/>
      <c r="C62" s="209"/>
      <c r="D62" s="209"/>
      <c r="E62" s="209"/>
      <c r="F62" s="209"/>
      <c r="G62" s="209"/>
      <c r="H62" s="209"/>
      <c r="I62" s="209">
        <f>+I61-G61</f>
        <v>16.619500000000698</v>
      </c>
      <c r="K62" s="209">
        <f>+K61-I61</f>
        <v>1429</v>
      </c>
      <c r="L62" s="209">
        <f>+L61-K61</f>
        <v>1350</v>
      </c>
      <c r="M62" s="209">
        <f>+M61-O61</f>
        <v>1744</v>
      </c>
      <c r="N62" s="209">
        <f>+N61-O61</f>
        <v>872</v>
      </c>
      <c r="O62" s="209"/>
      <c r="P62" s="209">
        <f>+P61-O61</f>
        <v>3620</v>
      </c>
      <c r="Q62" s="209">
        <f t="shared" ref="Q62:V62" si="36">+Q61-$K61</f>
        <v>7157</v>
      </c>
      <c r="R62" s="209">
        <f t="shared" si="36"/>
        <v>9912</v>
      </c>
      <c r="S62" s="209">
        <f t="shared" si="36"/>
        <v>4212</v>
      </c>
      <c r="T62" s="209">
        <f t="shared" si="36"/>
        <v>3208</v>
      </c>
      <c r="U62" s="209">
        <f t="shared" si="36"/>
        <v>199</v>
      </c>
      <c r="V62" s="209">
        <f t="shared" si="36"/>
        <v>7157</v>
      </c>
    </row>
    <row r="63" spans="1:25" x14ac:dyDescent="0.35">
      <c r="A63" s="221"/>
      <c r="B63" s="221"/>
      <c r="C63" s="209"/>
      <c r="D63" s="209"/>
      <c r="E63" s="209"/>
      <c r="F63" s="209"/>
      <c r="G63" s="209"/>
      <c r="H63" s="209"/>
      <c r="I63" s="401">
        <f>+I62/G61</f>
        <v>1.6511616318739237E-4</v>
      </c>
      <c r="J63" s="45"/>
      <c r="K63" s="619">
        <f>+K62/I61</f>
        <v>1.4194894208801033E-2</v>
      </c>
      <c r="L63" s="619">
        <f>+L62/O61</f>
        <v>1.3485974586430112E-2</v>
      </c>
      <c r="M63" s="619">
        <f>+M62/O61</f>
        <v>1.7421881243506753E-2</v>
      </c>
      <c r="N63" s="619">
        <f>+N62/O61</f>
        <v>8.7109406217533766E-3</v>
      </c>
      <c r="O63" s="401"/>
      <c r="P63" s="619">
        <f>+P62/O61</f>
        <v>3.616239111324223E-2</v>
      </c>
      <c r="Q63" s="619">
        <f t="shared" ref="Q63:V63" si="37">+Q62/$K61</f>
        <v>7.0098629761310108E-2</v>
      </c>
      <c r="R63" s="619">
        <f t="shared" si="37"/>
        <v>9.7082243704639609E-2</v>
      </c>
      <c r="S63" s="619">
        <f t="shared" si="37"/>
        <v>4.1254076925337176E-2</v>
      </c>
      <c r="T63" s="619">
        <f t="shared" si="37"/>
        <v>3.142048404000039E-2</v>
      </c>
      <c r="U63" s="619">
        <f t="shared" si="37"/>
        <v>1.949088629663366E-3</v>
      </c>
      <c r="V63" s="619">
        <f t="shared" si="37"/>
        <v>7.0098629761310108E-2</v>
      </c>
    </row>
    <row r="64" spans="1:25" hidden="1" x14ac:dyDescent="0.35">
      <c r="A64" s="300"/>
      <c r="B64" s="300"/>
      <c r="C64" s="300" t="s">
        <v>206</v>
      </c>
      <c r="D64" s="300"/>
      <c r="E64" s="300"/>
      <c r="F64" s="300"/>
      <c r="G64" s="300"/>
      <c r="H64" s="400"/>
    </row>
    <row r="65" spans="1:22" hidden="1" x14ac:dyDescent="0.35">
      <c r="A65" s="849" t="s">
        <v>207</v>
      </c>
      <c r="B65" s="220"/>
      <c r="C65" s="143">
        <f>+C61-C18</f>
        <v>87649.365145416668</v>
      </c>
      <c r="D65" s="143">
        <f>+D61-D18</f>
        <v>88947.843410416681</v>
      </c>
      <c r="E65" s="143">
        <f>+E61-E18</f>
        <v>92275.566074999995</v>
      </c>
      <c r="F65" s="143">
        <f>+F61-F18</f>
        <v>91326.469849999994</v>
      </c>
      <c r="G65" s="300"/>
      <c r="H65" s="400"/>
    </row>
    <row r="66" spans="1:22" x14ac:dyDescent="0.35">
      <c r="A66" s="300"/>
      <c r="G66" s="219"/>
      <c r="I66" s="219"/>
      <c r="K66" s="219"/>
      <c r="L66" s="219"/>
      <c r="M66" s="219"/>
      <c r="N66" s="219"/>
      <c r="O66" s="219"/>
      <c r="P66" s="219"/>
      <c r="Q66" s="219"/>
      <c r="R66" s="219"/>
      <c r="S66" s="219"/>
      <c r="T66" s="219"/>
      <c r="U66" s="219"/>
      <c r="V66" s="219"/>
    </row>
    <row r="67" spans="1:22" ht="18.5" x14ac:dyDescent="0.35">
      <c r="A67" s="850" t="s">
        <v>536</v>
      </c>
    </row>
    <row r="68" spans="1:22" ht="32" customHeight="1" thickBot="1" x14ac:dyDescent="0.4">
      <c r="A68" s="831"/>
      <c r="Q68" s="831"/>
    </row>
    <row r="69" spans="1:22" x14ac:dyDescent="0.35">
      <c r="A69" s="829" t="s">
        <v>538</v>
      </c>
      <c r="Q69" s="832" t="s">
        <v>537</v>
      </c>
    </row>
    <row r="71" spans="1:22" ht="32" customHeight="1" thickBot="1" x14ac:dyDescent="0.4">
      <c r="A71" s="831"/>
      <c r="Q71" s="831"/>
    </row>
    <row r="72" spans="1:22" x14ac:dyDescent="0.35">
      <c r="A72" s="829" t="s">
        <v>539</v>
      </c>
      <c r="Q72" s="832" t="s">
        <v>537</v>
      </c>
    </row>
    <row r="74" spans="1:22" ht="32" customHeight="1" thickBot="1" x14ac:dyDescent="0.4">
      <c r="A74" s="831"/>
      <c r="Q74" s="831"/>
    </row>
    <row r="75" spans="1:22" x14ac:dyDescent="0.35">
      <c r="A75" s="829" t="s">
        <v>540</v>
      </c>
      <c r="Q75" s="832" t="s">
        <v>537</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8" workbookViewId="0">
      <selection activeCell="F15" sqref="F15"/>
    </sheetView>
  </sheetViews>
  <sheetFormatPr defaultRowHeight="14.5" x14ac:dyDescent="0.35"/>
  <cols>
    <col min="1" max="1" width="14.26953125" customWidth="1"/>
    <col min="2" max="2" width="11.54296875" customWidth="1"/>
    <col min="3" max="3" width="10.81640625" customWidth="1"/>
    <col min="4" max="4" width="7.54296875" bestFit="1" customWidth="1"/>
    <col min="5" max="5" width="10.90625" customWidth="1"/>
    <col min="12" max="12" width="10.08984375" bestFit="1" customWidth="1"/>
  </cols>
  <sheetData>
    <row r="1" spans="1:12" x14ac:dyDescent="0.35">
      <c r="A1" s="1126" t="s">
        <v>216</v>
      </c>
    </row>
    <row r="2" spans="1:12" x14ac:dyDescent="0.35">
      <c r="B2" s="1122">
        <v>43160</v>
      </c>
      <c r="C2">
        <v>2023</v>
      </c>
      <c r="D2" t="s">
        <v>637</v>
      </c>
    </row>
    <row r="3" spans="1:12" x14ac:dyDescent="0.35">
      <c r="B3" s="1122">
        <v>41454</v>
      </c>
      <c r="C3">
        <v>2022</v>
      </c>
      <c r="D3" t="s">
        <v>637</v>
      </c>
    </row>
    <row r="4" spans="1:12" x14ac:dyDescent="0.35">
      <c r="A4" t="s">
        <v>725</v>
      </c>
    </row>
    <row r="6" spans="1:12" x14ac:dyDescent="0.35">
      <c r="B6" s="1375"/>
      <c r="C6" s="1375"/>
      <c r="D6" s="1375"/>
      <c r="F6" s="1375"/>
      <c r="G6" s="1375"/>
      <c r="H6" s="1375"/>
    </row>
    <row r="7" spans="1:12" ht="58" x14ac:dyDescent="0.35">
      <c r="B7" s="1116" t="s">
        <v>728</v>
      </c>
      <c r="C7" s="1116" t="s">
        <v>729</v>
      </c>
      <c r="D7" s="1117" t="s">
        <v>249</v>
      </c>
      <c r="E7" s="1376" t="s">
        <v>727</v>
      </c>
      <c r="F7" s="1376"/>
    </row>
    <row r="8" spans="1:12" x14ac:dyDescent="0.35">
      <c r="B8" s="1120">
        <v>0.4</v>
      </c>
      <c r="C8" s="1121">
        <v>0.6</v>
      </c>
      <c r="E8" s="1131" t="s">
        <v>108</v>
      </c>
      <c r="F8" s="1131" t="s">
        <v>109</v>
      </c>
    </row>
    <row r="9" spans="1:12" x14ac:dyDescent="0.35">
      <c r="A9" s="1118">
        <v>0.1</v>
      </c>
      <c r="B9" s="1122">
        <v>55081</v>
      </c>
      <c r="C9" s="1122">
        <v>37639</v>
      </c>
      <c r="D9" s="695">
        <f>(+B9*B$8)+(C9*C$8)</f>
        <v>44615.8</v>
      </c>
      <c r="E9" s="706">
        <f>+D9-B$3</f>
        <v>3161.8000000000029</v>
      </c>
      <c r="F9" s="1123">
        <f>+E9/B$3</f>
        <v>7.6272494813528324E-2</v>
      </c>
    </row>
    <row r="10" spans="1:12" x14ac:dyDescent="0.35">
      <c r="A10" s="1118">
        <v>0.25</v>
      </c>
      <c r="B10" s="1122">
        <v>60846</v>
      </c>
      <c r="C10" s="1122">
        <v>42100</v>
      </c>
      <c r="D10" s="695">
        <f>(+B10*B$8)+(C10*C$8)</f>
        <v>49598.400000000001</v>
      </c>
      <c r="E10" s="706">
        <f>+D10-B$3</f>
        <v>8144.4000000000015</v>
      </c>
      <c r="F10" s="1123">
        <f>+E10/B$3</f>
        <v>0.19646837458387614</v>
      </c>
    </row>
    <row r="11" spans="1:12" x14ac:dyDescent="0.35">
      <c r="A11" s="1119" t="s">
        <v>726</v>
      </c>
      <c r="B11" s="1122">
        <v>67178</v>
      </c>
      <c r="C11" s="1122">
        <v>47000</v>
      </c>
      <c r="D11" s="695">
        <f>(+B11*B$8)+(C11*C$8)</f>
        <v>55071.199999999997</v>
      </c>
      <c r="E11" s="1124">
        <f>+D11-B$3</f>
        <v>13617.199999999997</v>
      </c>
      <c r="F11" s="1125">
        <f>+E11/B$3</f>
        <v>0.32848940994837644</v>
      </c>
    </row>
    <row r="12" spans="1:12" x14ac:dyDescent="0.35">
      <c r="A12" s="1118">
        <v>0.75</v>
      </c>
      <c r="B12" s="1122">
        <v>74329</v>
      </c>
      <c r="C12" s="1122">
        <v>53000</v>
      </c>
      <c r="D12" s="695">
        <f>(+B12*B$8)+(C12*C$8)</f>
        <v>61531.600000000006</v>
      </c>
      <c r="E12" s="706">
        <f>+D12-B$3</f>
        <v>20077.600000000006</v>
      </c>
      <c r="F12" s="1123">
        <f>+E12/B$3</f>
        <v>0.48433444299705714</v>
      </c>
      <c r="L12" s="1127"/>
    </row>
    <row r="13" spans="1:12" x14ac:dyDescent="0.35">
      <c r="A13" s="1118">
        <v>0.9</v>
      </c>
      <c r="B13" s="1122">
        <v>80840</v>
      </c>
      <c r="C13" s="1122">
        <v>58463</v>
      </c>
      <c r="D13" s="695">
        <f>(+B13*B$8)+(C13*C$8)</f>
        <v>67413.799999999988</v>
      </c>
      <c r="E13" s="706">
        <f>+D13-B$3</f>
        <v>25959.799999999988</v>
      </c>
      <c r="F13" s="1123">
        <f>+E13/B$3</f>
        <v>0.62623148550200192</v>
      </c>
    </row>
    <row r="17" spans="1:6" x14ac:dyDescent="0.35">
      <c r="A17" t="s">
        <v>730</v>
      </c>
    </row>
    <row r="18" spans="1:6" ht="43.5" x14ac:dyDescent="0.35">
      <c r="B18" s="1116" t="s">
        <v>731</v>
      </c>
      <c r="C18" s="1116" t="s">
        <v>732</v>
      </c>
      <c r="D18" s="1117" t="s">
        <v>249</v>
      </c>
      <c r="E18" s="1376"/>
      <c r="F18" s="1376"/>
    </row>
    <row r="19" spans="1:6" x14ac:dyDescent="0.35">
      <c r="B19" s="1120">
        <v>0.6</v>
      </c>
      <c r="C19" s="1121">
        <v>0.4</v>
      </c>
      <c r="E19" s="1131"/>
      <c r="F19" s="1131"/>
    </row>
    <row r="20" spans="1:6" x14ac:dyDescent="0.35">
      <c r="A20" s="1118">
        <v>0.1</v>
      </c>
      <c r="B20" s="1122">
        <v>41284</v>
      </c>
      <c r="C20" s="1122">
        <v>28321</v>
      </c>
      <c r="D20" s="695">
        <f>(+B20*B$8)+(C20*C$8)</f>
        <v>33506.199999999997</v>
      </c>
      <c r="E20" s="706"/>
      <c r="F20" s="1123"/>
    </row>
    <row r="21" spans="1:6" x14ac:dyDescent="0.35">
      <c r="A21" s="1118">
        <v>0.25</v>
      </c>
      <c r="B21" s="1122">
        <v>53302</v>
      </c>
      <c r="C21" s="1122">
        <v>35276</v>
      </c>
      <c r="D21" s="695">
        <f>(+B21*B$8)+(C21*C$8)</f>
        <v>42486.400000000001</v>
      </c>
      <c r="E21" s="706"/>
      <c r="F21" s="1123"/>
    </row>
    <row r="22" spans="1:6" x14ac:dyDescent="0.35">
      <c r="A22" s="1119" t="s">
        <v>726</v>
      </c>
      <c r="B22" s="1122">
        <v>66502</v>
      </c>
      <c r="C22" s="1122">
        <v>42915</v>
      </c>
      <c r="D22" s="695">
        <f>(+B22*B$8)+(C22*C$8)</f>
        <v>52349.8</v>
      </c>
      <c r="E22" s="1124"/>
      <c r="F22" s="1125"/>
    </row>
    <row r="23" spans="1:6" x14ac:dyDescent="0.35">
      <c r="A23" s="1118">
        <v>0.75</v>
      </c>
      <c r="B23" s="1122">
        <v>81702</v>
      </c>
      <c r="C23" s="1122">
        <v>53123</v>
      </c>
      <c r="D23" s="695">
        <f>(+B23*B$8)+(C23*C$8)</f>
        <v>64554.600000000006</v>
      </c>
      <c r="E23" s="706"/>
      <c r="F23" s="1123"/>
    </row>
    <row r="24" spans="1:6" x14ac:dyDescent="0.35">
      <c r="A24" s="1118">
        <v>0.9</v>
      </c>
      <c r="B24" s="1122">
        <v>95541</v>
      </c>
      <c r="C24" s="1122">
        <v>62417</v>
      </c>
      <c r="D24" s="695">
        <f>(+B24*B$8)+(C24*C$8)</f>
        <v>75666.600000000006</v>
      </c>
      <c r="E24" s="706"/>
      <c r="F24" s="1123"/>
    </row>
  </sheetData>
  <mergeCells count="4">
    <mergeCell ref="B6:D6"/>
    <mergeCell ref="F6:H6"/>
    <mergeCell ref="E7:F7"/>
    <mergeCell ref="E18:F18"/>
  </mergeCells>
  <pageMargins left="0.45" right="0.45" top="0.75" bottom="0.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19</vt:i4>
      </vt:variant>
      <vt:variant>
        <vt:lpstr>Charts</vt:lpstr>
      </vt:variant>
      <vt:variant>
        <vt:i4>1</vt:i4>
      </vt:variant>
      <vt:variant>
        <vt:lpstr>Named Ranges</vt:lpstr>
      </vt:variant>
      <vt:variant>
        <vt:i4>4</vt:i4>
      </vt:variant>
    </vt:vector>
  </HeadingPairs>
  <TitlesOfParts>
    <vt:vector size="24" baseType="lpstr">
      <vt:lpstr>Top Sheet</vt:lpstr>
      <vt:lpstr>Summary New Year</vt:lpstr>
      <vt:lpstr>Annual Report</vt:lpstr>
      <vt:lpstr>New Year-Full Year</vt:lpstr>
      <vt:lpstr>Analysis of Rates</vt:lpstr>
      <vt:lpstr>Band and Other Music</vt:lpstr>
      <vt:lpstr>New Pastor Estimate</vt:lpstr>
      <vt:lpstr>Comparison</vt:lpstr>
      <vt:lpstr>Assoc. Pastor</vt:lpstr>
      <vt:lpstr>PK to Cheryl</vt:lpstr>
      <vt:lpstr>2023 Est-P Kelly</vt:lpstr>
      <vt:lpstr>Glen and Cheryl</vt:lpstr>
      <vt:lpstr>Rates for Cheryl</vt:lpstr>
      <vt:lpstr>Expenses</vt:lpstr>
      <vt:lpstr>Benevolence</vt:lpstr>
      <vt:lpstr>Dec Council Meeting</vt:lpstr>
      <vt:lpstr>Options</vt:lpstr>
      <vt:lpstr>Pastor Karen</vt:lpstr>
      <vt:lpstr>Cheryl Salary Range</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2022-12-11T21:52:28Z</cp:lastPrinted>
  <dcterms:created xsi:type="dcterms:W3CDTF">2011-12-01T18:07:46Z</dcterms:created>
  <dcterms:modified xsi:type="dcterms:W3CDTF">2022-12-20T21:05:33Z</dcterms:modified>
</cp:coreProperties>
</file>